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lla\Dropbox\ECS\Embodied Carbon\Scenarios\"/>
    </mc:Choice>
  </mc:AlternateContent>
  <xr:revisionPtr revIDLastSave="0" documentId="13_ncr:1_{FF6E9132-AFF1-4F8F-9AD3-5CBCFF7352A1}" xr6:coauthVersionLast="47" xr6:coauthVersionMax="47" xr10:uidLastSave="{00000000-0000-0000-0000-000000000000}"/>
  <bookViews>
    <workbookView xWindow="5745" yWindow="-18120" windowWidth="29040" windowHeight="17520" activeTab="1" xr2:uid="{944172CE-0F95-483A-B4F7-9DF5546D1146}"/>
  </bookViews>
  <sheets>
    <sheet name="Totals" sheetId="3" r:id="rId1"/>
    <sheet name="Wood Calculator" sheetId="1" r:id="rId2"/>
    <sheet name="Data Valu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J8" i="2" s="1"/>
  <c r="J9" i="2" s="1"/>
  <c r="K9" i="2" s="1"/>
  <c r="R16" i="2"/>
  <c r="S16" i="2"/>
  <c r="O16" i="2"/>
  <c r="J16" i="2"/>
  <c r="K16" i="2" s="1"/>
  <c r="N16" i="2"/>
  <c r="J15" i="2"/>
  <c r="K15" i="2" s="1"/>
  <c r="R15" i="2"/>
  <c r="S15" i="2" s="1"/>
  <c r="N15" i="2"/>
  <c r="O15" i="2" s="1"/>
  <c r="K38" i="2"/>
  <c r="S12" i="2"/>
  <c r="R12" i="2"/>
  <c r="N12" i="2"/>
  <c r="O12" i="2" s="1"/>
  <c r="J12" i="2"/>
  <c r="K12" i="2" s="1"/>
  <c r="S29" i="2"/>
  <c r="R37" i="2"/>
  <c r="R39" i="2" s="1"/>
  <c r="N37" i="2"/>
  <c r="N39" i="2" s="1"/>
  <c r="N40" i="2" s="1"/>
  <c r="J37" i="2"/>
  <c r="J38" i="2" s="1"/>
  <c r="O29" i="2"/>
  <c r="S24" i="2"/>
  <c r="R8" i="2"/>
  <c r="R9" i="2" s="1"/>
  <c r="N8" i="2"/>
  <c r="N9" i="2" s="1"/>
  <c r="R19" i="2"/>
  <c r="R22" i="2" s="1"/>
  <c r="J19" i="2"/>
  <c r="J20" i="2" s="1"/>
  <c r="N19" i="2"/>
  <c r="N23" i="2" s="1"/>
  <c r="F3" i="2"/>
  <c r="R11" i="2"/>
  <c r="S11" i="2" s="1"/>
  <c r="R7" i="2"/>
  <c r="S7" i="2" s="1"/>
  <c r="R5" i="2"/>
  <c r="R4" i="2"/>
  <c r="S4" i="2" s="1"/>
  <c r="N11" i="2"/>
  <c r="O11" i="2" s="1"/>
  <c r="N7" i="2"/>
  <c r="O7" i="2" s="1"/>
  <c r="N5" i="2"/>
  <c r="N6" i="2" s="1"/>
  <c r="N4" i="2"/>
  <c r="O4" i="2" s="1"/>
  <c r="F7" i="2"/>
  <c r="F6" i="2"/>
  <c r="F5" i="2"/>
  <c r="F4" i="2"/>
  <c r="J11" i="2"/>
  <c r="J5" i="2"/>
  <c r="J6" i="2" s="1"/>
  <c r="K6" i="2" s="1"/>
  <c r="J4" i="2"/>
  <c r="K4" i="2" s="1"/>
  <c r="K11" i="2" l="1"/>
  <c r="O39" i="2"/>
  <c r="J7" i="2"/>
  <c r="K7" i="2" s="1"/>
  <c r="K14" i="2" s="1"/>
  <c r="N38" i="2"/>
  <c r="O38" i="2" s="1"/>
  <c r="O45" i="2" s="1"/>
  <c r="R40" i="2"/>
  <c r="S39" i="2" s="1"/>
  <c r="R38" i="2"/>
  <c r="S38" i="2" s="1"/>
  <c r="J39" i="2"/>
  <c r="S9" i="2"/>
  <c r="O9" i="2"/>
  <c r="R21" i="2"/>
  <c r="R20" i="2"/>
  <c r="N22" i="2"/>
  <c r="N20" i="2"/>
  <c r="N21" i="2"/>
  <c r="R6" i="2"/>
  <c r="S6" i="2" s="1"/>
  <c r="O6" i="2"/>
  <c r="J22" i="2"/>
  <c r="K22" i="2" s="1"/>
  <c r="J23" i="2"/>
  <c r="R23" i="2"/>
  <c r="S23" i="2" s="1"/>
  <c r="J21" i="2"/>
  <c r="K24" i="2" l="1"/>
  <c r="K23" i="2"/>
  <c r="S45" i="2"/>
  <c r="O14" i="2"/>
  <c r="O22" i="2"/>
  <c r="S14" i="2"/>
  <c r="O23" i="2"/>
  <c r="O24" i="2" s="1"/>
  <c r="J40" i="2"/>
  <c r="K39" i="2" s="1"/>
  <c r="S22" i="2"/>
  <c r="S31" i="2" s="1"/>
  <c r="O31" i="2" l="1"/>
  <c r="K45" i="2"/>
  <c r="K29" i="2"/>
  <c r="K31" i="2" s="1"/>
  <c r="K30" i="3" l="1"/>
  <c r="K33" i="3" s="1"/>
  <c r="H6" i="1"/>
  <c r="E10" i="3" l="1"/>
  <c r="E11" i="3"/>
  <c r="K10" i="3"/>
  <c r="K31" i="3"/>
  <c r="K32" i="3" s="1"/>
  <c r="K11" i="3"/>
  <c r="H11" i="3"/>
  <c r="H10" i="3"/>
  <c r="H9" i="3"/>
  <c r="E25" i="3"/>
  <c r="H8" i="3"/>
  <c r="E17" i="3"/>
  <c r="E16" i="3"/>
  <c r="K8" i="3"/>
  <c r="K25" i="3"/>
  <c r="K16" i="3"/>
  <c r="H7" i="3"/>
  <c r="K7" i="3"/>
  <c r="E9" i="3"/>
  <c r="H17" i="3"/>
  <c r="H16" i="3"/>
  <c r="K9" i="3"/>
  <c r="E7" i="3"/>
  <c r="K17" i="3"/>
  <c r="H25" i="3"/>
  <c r="E8" i="3"/>
  <c r="H7" i="1"/>
  <c r="H8" i="1" s="1"/>
</calcChain>
</file>

<file path=xl/sharedStrings.xml><?xml version="1.0" encoding="utf-8"?>
<sst xmlns="http://schemas.openxmlformats.org/spreadsheetml/2006/main" count="273" uniqueCount="112">
  <si>
    <t>Main Floor</t>
  </si>
  <si>
    <t>Rafter Size</t>
  </si>
  <si>
    <t>Floor</t>
  </si>
  <si>
    <t>Floor Assembly</t>
  </si>
  <si>
    <t>Second Floor</t>
  </si>
  <si>
    <t>Third Floor</t>
  </si>
  <si>
    <t>Pitch</t>
  </si>
  <si>
    <t>2x4</t>
  </si>
  <si>
    <t>2x6</t>
  </si>
  <si>
    <t>2x8</t>
  </si>
  <si>
    <t>Number of Doors</t>
  </si>
  <si>
    <t>Framing Spacing (inches)</t>
  </si>
  <si>
    <t>Height (feet)</t>
  </si>
  <si>
    <t>2x10</t>
  </si>
  <si>
    <t>2x12</t>
  </si>
  <si>
    <t>Totals:</t>
  </si>
  <si>
    <t>Automatically Populated Cells</t>
  </si>
  <si>
    <t>Fillable Cells</t>
  </si>
  <si>
    <t>Framing Assembly</t>
  </si>
  <si>
    <t>Interior Walls</t>
  </si>
  <si>
    <t>Number of Corners</t>
  </si>
  <si>
    <t>Number of Windows</t>
  </si>
  <si>
    <t>Perimeter (ft)</t>
  </si>
  <si>
    <t>Linear Footage of Partition Walls (ft)</t>
  </si>
  <si>
    <t>Exterior Walls</t>
  </si>
  <si>
    <t>Salvage Board Foot Target:</t>
  </si>
  <si>
    <t>Estimated Board Foot Length Available:</t>
  </si>
  <si>
    <t>Main Floor Calculations</t>
  </si>
  <si>
    <t># of Studs (exterior)</t>
  </si>
  <si>
    <t># of Studs (interior)</t>
  </si>
  <si>
    <t>Plate Material (exterior) in feet</t>
  </si>
  <si>
    <t>Plate Material (interior) in feet</t>
  </si>
  <si>
    <t>Linear Footage of Exterior Studs</t>
  </si>
  <si>
    <t>Linear Footage of Interior Studs</t>
  </si>
  <si>
    <t>Rim Joist Length</t>
  </si>
  <si>
    <t>LF of Floor Joists</t>
  </si>
  <si>
    <t>Second Floor Calculations</t>
  </si>
  <si>
    <t>Third Floor Calculations</t>
  </si>
  <si>
    <t>BF</t>
  </si>
  <si>
    <t>SUM</t>
  </si>
  <si>
    <t>Notes:</t>
  </si>
  <si>
    <t>If there are multiple framing types in a wall assembly, assign the smallest value</t>
  </si>
  <si>
    <t>1/12</t>
  </si>
  <si>
    <t>Flat</t>
  </si>
  <si>
    <t>2/12</t>
  </si>
  <si>
    <t>3/12</t>
  </si>
  <si>
    <t>4/12</t>
  </si>
  <si>
    <t>5/12</t>
  </si>
  <si>
    <t>6/12</t>
  </si>
  <si>
    <t>7/12</t>
  </si>
  <si>
    <t>8/12</t>
  </si>
  <si>
    <t>9/12</t>
  </si>
  <si>
    <t>10/12</t>
  </si>
  <si>
    <t>11/12</t>
  </si>
  <si>
    <t>12/12</t>
  </si>
  <si>
    <t>Roof 1 Calculations</t>
  </si>
  <si>
    <t>Roof 2 Calculations</t>
  </si>
  <si>
    <t>Roof 3 Calulations</t>
  </si>
  <si>
    <t># of Rafters</t>
  </si>
  <si>
    <t>Select Assembly</t>
  </si>
  <si>
    <t>Select Pitch</t>
  </si>
  <si>
    <t># of Celing Joists</t>
  </si>
  <si>
    <t>Rafter Length</t>
  </si>
  <si>
    <t>Ceiling Joist Length</t>
  </si>
  <si>
    <t># Celing Joists</t>
  </si>
  <si>
    <t>IE: An exterior or interior wall has both 2x4 and 2x6 framing. Select 2x4 from the drop down</t>
  </si>
  <si>
    <t>Salvage Metric Tonne Target</t>
  </si>
  <si>
    <t>Rafter Spacing (inches)</t>
  </si>
  <si>
    <t>Exception for flat ceilings</t>
  </si>
  <si>
    <t>Exception for vaulted ceilings</t>
  </si>
  <si>
    <t>Deck 1</t>
  </si>
  <si>
    <t>Deck 2</t>
  </si>
  <si>
    <t>Deck 3</t>
  </si>
  <si>
    <t>Roof 1</t>
  </si>
  <si>
    <t>Roof 2</t>
  </si>
  <si>
    <t>Roof 3</t>
  </si>
  <si>
    <r>
      <t>Floor Area Below Ceiling (ft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</si>
  <si>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Floor Area Below Ceiling (f</t>
    </r>
    <r>
      <rPr>
        <vertAlign val="superscript"/>
        <sz val="11"/>
        <color theme="1"/>
        <rFont val="Calibri"/>
        <family val="2"/>
        <scheme val="minor"/>
      </rPr>
      <t>t2</t>
    </r>
    <r>
      <rPr>
        <sz val="11"/>
        <color theme="1"/>
        <rFont val="Calibri"/>
        <family val="2"/>
        <scheme val="minor"/>
      </rPr>
      <t>)</t>
    </r>
  </si>
  <si>
    <r>
      <t>Area (ft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</si>
  <si>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Deck 1 Calculations</t>
  </si>
  <si>
    <t>Deck 2 Calculations</t>
  </si>
  <si>
    <t>Deck 3 Calulations</t>
  </si>
  <si>
    <t>Deck 1 Area</t>
  </si>
  <si>
    <t>Roof Area Below</t>
  </si>
  <si>
    <t>Deck 2 Area</t>
  </si>
  <si>
    <t>Deck 3 Area</t>
  </si>
  <si>
    <t>Framing Size</t>
  </si>
  <si>
    <t>Framing Spacing</t>
  </si>
  <si>
    <r>
      <t>Deck Area (ft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</si>
  <si>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 of Rim Joist</t>
  </si>
  <si>
    <t>LF of Framing Material</t>
  </si>
  <si>
    <t># of Framing Members</t>
  </si>
  <si>
    <t>Floor Below</t>
  </si>
  <si>
    <t>Interior Partition Walls</t>
  </si>
  <si>
    <t>Ceiling Joists</t>
  </si>
  <si>
    <t>Rafters</t>
  </si>
  <si>
    <t>Framing</t>
  </si>
  <si>
    <t>LF of extra corner/window framing</t>
  </si>
  <si>
    <t>ignore dormers</t>
  </si>
  <si>
    <t>If you have a roof slope steeper than 12/12 select 12/12</t>
  </si>
  <si>
    <t>add your own label</t>
  </si>
  <si>
    <t>Salvage Metric Tonne Target:</t>
  </si>
  <si>
    <t>% of Board Feet Available</t>
  </si>
  <si>
    <t>Interior Corners/Windows/Doors</t>
  </si>
  <si>
    <t>Exterior Corners/Windows/Doors</t>
  </si>
  <si>
    <t>LF of extra corner/window framing ext</t>
  </si>
  <si>
    <t>LF of extra corner/window framing int</t>
  </si>
  <si>
    <t>Total Salvage BF/Sq:</t>
  </si>
  <si>
    <t>Main</t>
  </si>
  <si>
    <t>Upper</t>
  </si>
  <si>
    <t>Vault</t>
  </si>
  <si>
    <t>Main Floor Combined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</si>
</sst>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Segoe UI"/>
      <family val="2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0" xfId="0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4" borderId="1" xfId="0" applyFill="1" applyBorder="1"/>
    <xf numFmtId="0" fontId="1" fillId="3" borderId="0" xfId="0" applyFont="1" applyFill="1"/>
    <xf numFmtId="0" fontId="1" fillId="0" borderId="0" xfId="0" applyFont="1"/>
    <xf numFmtId="0" fontId="0" fillId="4" borderId="10" xfId="0" applyFill="1" applyBorder="1"/>
    <xf numFmtId="0" fontId="3" fillId="3" borderId="0" xfId="0" applyFont="1" applyFill="1"/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/>
    <xf numFmtId="0" fontId="0" fillId="4" borderId="11" xfId="0" applyFill="1" applyBorder="1" applyAlignment="1">
      <alignment horizontal="center"/>
    </xf>
    <xf numFmtId="0" fontId="2" fillId="5" borderId="0" xfId="0" applyFont="1" applyFill="1"/>
    <xf numFmtId="0" fontId="0" fillId="0" borderId="0" xfId="0" applyAlignment="1">
      <alignment vertical="center"/>
    </xf>
    <xf numFmtId="0" fontId="0" fillId="5" borderId="0" xfId="0" applyFill="1"/>
    <xf numFmtId="2" fontId="0" fillId="2" borderId="1" xfId="0" applyNumberFormat="1" applyFill="1" applyBorder="1"/>
    <xf numFmtId="2" fontId="0" fillId="3" borderId="0" xfId="0" applyNumberFormat="1" applyFill="1"/>
    <xf numFmtId="2" fontId="0" fillId="3" borderId="0" xfId="0" applyNumberFormat="1" applyFill="1" applyAlignment="1">
      <alignment horizontal="right"/>
    </xf>
    <xf numFmtId="2" fontId="1" fillId="3" borderId="0" xfId="0" applyNumberFormat="1" applyFont="1" applyFill="1"/>
    <xf numFmtId="0" fontId="1" fillId="3" borderId="0" xfId="0" applyFont="1" applyFill="1" applyAlignment="1">
      <alignment horizontal="right"/>
    </xf>
    <xf numFmtId="2" fontId="1" fillId="3" borderId="0" xfId="0" applyNumberFormat="1" applyFont="1" applyFill="1" applyAlignment="1">
      <alignment horizontal="right"/>
    </xf>
    <xf numFmtId="0" fontId="2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2" fontId="0" fillId="6" borderId="1" xfId="0" applyNumberFormat="1" applyFill="1" applyBorder="1"/>
    <xf numFmtId="2" fontId="0" fillId="2" borderId="1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'Data Values'!$J$29" lockText="1" noThreeD="1"/>
</file>

<file path=xl/ctrlProps/ctrlProp2.xml><?xml version="1.0" encoding="utf-8"?>
<formControlPr xmlns="http://schemas.microsoft.com/office/spreadsheetml/2009/9/main" objectType="CheckBox" fmlaLink="'Data Values'!$N$29" lockText="1" noThreeD="1"/>
</file>

<file path=xl/ctrlProps/ctrlProp3.xml><?xml version="1.0" encoding="utf-8"?>
<formControlPr xmlns="http://schemas.microsoft.com/office/spreadsheetml/2009/9/main" objectType="CheckBox" fmlaLink="'Data Values'!$R$29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438150</xdr:colOff>
      <xdr:row>25</xdr:row>
      <xdr:rowOff>120015</xdr:rowOff>
    </xdr:from>
    <xdr:to>
      <xdr:col>3</xdr:col>
      <xdr:colOff>1257300</xdr:colOff>
      <xdr:row>33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4644390"/>
          <a:ext cx="1428750" cy="14135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41</xdr:row>
          <xdr:rowOff>205740</xdr:rowOff>
        </xdr:from>
        <xdr:to>
          <xdr:col>4</xdr:col>
          <xdr:colOff>190500</xdr:colOff>
          <xdr:row>43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Vaulted? (check for yes, uncheck for no)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594360</xdr:colOff>
          <xdr:row>48</xdr:row>
          <xdr:rowOff>182880</xdr:rowOff>
        </xdr:from>
        <xdr:to>
          <xdr:col>4</xdr:col>
          <xdr:colOff>152400</xdr:colOff>
          <xdr:row>49</xdr:row>
          <xdr:rowOff>171450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Vaulted? (check for yes, uncheck for no)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</xdr:colOff>
          <xdr:row>55</xdr:row>
          <xdr:rowOff>213360</xdr:rowOff>
        </xdr:from>
        <xdr:to>
          <xdr:col>4</xdr:col>
          <xdr:colOff>167640</xdr:colOff>
          <xdr:row>57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Vaulted? (check for yes, uncheck for no)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FD1AB-9C87-4776-AA3E-A0FE7147997B}">
  <dimension ref="C4:L34"/>
  <sheetViews>
    <sheetView workbookViewId="0">
      <selection activeCell="K32" sqref="K32"/>
    </sheetView>
  </sheetViews>
  <sheetFormatPr defaultRowHeight="14.4" x14ac:dyDescent="0.3"/>
  <cols>
    <col min="4" max="4" width="25.77734375" customWidth="1"/>
    <col min="5" max="5" width="14.77734375" customWidth="1"/>
    <col min="7" max="7" width="25.77734375" customWidth="1"/>
    <col min="8" max="8" width="14.77734375" customWidth="1"/>
    <col min="10" max="10" width="25.77734375" customWidth="1"/>
    <col min="11" max="11" width="14.77734375" customWidth="1"/>
  </cols>
  <sheetData>
    <row r="4" spans="3:12" x14ac:dyDescent="0.3">
      <c r="C4" s="1"/>
      <c r="D4" s="2"/>
      <c r="E4" s="2"/>
      <c r="F4" s="2"/>
      <c r="G4" s="2"/>
      <c r="H4" s="2"/>
      <c r="I4" s="2"/>
      <c r="J4" s="2"/>
      <c r="K4" s="2"/>
      <c r="L4" s="3"/>
    </row>
    <row r="5" spans="3:12" x14ac:dyDescent="0.3">
      <c r="C5" s="4"/>
      <c r="D5" s="28" t="s">
        <v>0</v>
      </c>
      <c r="E5" s="11" t="s">
        <v>102</v>
      </c>
      <c r="F5" s="5"/>
      <c r="G5" s="28" t="s">
        <v>4</v>
      </c>
      <c r="H5" s="11" t="s">
        <v>102</v>
      </c>
      <c r="I5" s="5"/>
      <c r="J5" s="28" t="s">
        <v>5</v>
      </c>
      <c r="K5" s="11" t="s">
        <v>102</v>
      </c>
      <c r="L5" s="6"/>
    </row>
    <row r="6" spans="3:12" x14ac:dyDescent="0.3">
      <c r="C6" s="4"/>
      <c r="D6" s="5"/>
      <c r="E6" s="5"/>
      <c r="F6" s="5"/>
      <c r="G6" s="5"/>
      <c r="H6" s="5"/>
      <c r="I6" s="5"/>
      <c r="J6" s="5"/>
      <c r="K6" s="5"/>
      <c r="L6" s="6"/>
    </row>
    <row r="7" spans="3:12" x14ac:dyDescent="0.3">
      <c r="C7" s="4"/>
      <c r="D7" s="17" t="s">
        <v>92</v>
      </c>
      <c r="E7" s="24">
        <f>IFERROR(('Data Values'!K11+'Data Values'!K12)/'Wood Calculator'!H6*100,0)</f>
        <v>23.343271633904898</v>
      </c>
      <c r="F7" s="25"/>
      <c r="G7" s="26" t="s">
        <v>92</v>
      </c>
      <c r="H7" s="24">
        <f>IFERROR(('Data Values'!O11+'Data Values'!O12)/'Wood Calculator'!H6*100,0)</f>
        <v>20.905032405392102</v>
      </c>
      <c r="I7" s="25"/>
      <c r="J7" s="26" t="s">
        <v>92</v>
      </c>
      <c r="K7" s="24">
        <f>IFERROR(('Data Values'!S11+'Data Values'!S12)/'Wood Calculator'!H6*100,0)</f>
        <v>0</v>
      </c>
      <c r="L7" s="6"/>
    </row>
    <row r="8" spans="3:12" x14ac:dyDescent="0.3">
      <c r="C8" s="4"/>
      <c r="D8" s="17" t="s">
        <v>24</v>
      </c>
      <c r="E8" s="24">
        <f>IFERROR(('Data Values'!K4+'Data Values'!K6)/'Wood Calculator'!H6*100,0)</f>
        <v>14.788455686709447</v>
      </c>
      <c r="F8" s="25"/>
      <c r="G8" s="26" t="s">
        <v>24</v>
      </c>
      <c r="H8" s="24">
        <f>IFERROR(('Data Values'!O4+'Data Values'!O6)/'Wood Calculator'!H6*100,0)</f>
        <v>18.750813638224724</v>
      </c>
      <c r="I8" s="25"/>
      <c r="J8" s="26" t="s">
        <v>24</v>
      </c>
      <c r="K8" s="24">
        <f>IFERROR(('Data Values'!S4+'Data Values'!S6)/'Wood Calculator'!H6*100,0)</f>
        <v>0</v>
      </c>
      <c r="L8" s="6"/>
    </row>
    <row r="9" spans="3:12" x14ac:dyDescent="0.3">
      <c r="C9" s="4"/>
      <c r="D9" s="17" t="s">
        <v>93</v>
      </c>
      <c r="E9" s="24">
        <f>IFERROR(('Data Values'!K7+'Data Values'!K9)/'Wood Calculator'!H6*100,0)</f>
        <v>7.8473964418242295</v>
      </c>
      <c r="F9" s="25"/>
      <c r="G9" s="26" t="s">
        <v>93</v>
      </c>
      <c r="H9" s="24">
        <f>IFERROR(('Data Values'!O7+'Data Values'!O9)/'Wood Calculator'!H6*100,0)</f>
        <v>0</v>
      </c>
      <c r="I9" s="25"/>
      <c r="J9" s="26" t="s">
        <v>93</v>
      </c>
      <c r="K9" s="24">
        <f>IFERROR(('Data Values'!S7+'Data Values'!S9)/'Wood Calculator'!H6*100,0)</f>
        <v>0</v>
      </c>
      <c r="L9" s="6"/>
    </row>
    <row r="10" spans="3:12" x14ac:dyDescent="0.3">
      <c r="C10" s="4"/>
      <c r="D10" s="17" t="s">
        <v>103</v>
      </c>
      <c r="E10" s="24">
        <f>IFERROR('Data Values'!K15/K30*100,0)</f>
        <v>7.467205890029514</v>
      </c>
      <c r="F10" s="25"/>
      <c r="G10" s="17" t="s">
        <v>103</v>
      </c>
      <c r="H10" s="24">
        <f>IFERROR('Data Values'!O15/K30*100,0)</f>
        <v>7.0741950537121703</v>
      </c>
      <c r="I10" s="25"/>
      <c r="J10" s="17" t="s">
        <v>103</v>
      </c>
      <c r="K10" s="24">
        <f>IFERROR('Data Values'!S15/K30*100,0)</f>
        <v>0</v>
      </c>
      <c r="L10" s="6"/>
    </row>
    <row r="11" spans="3:12" x14ac:dyDescent="0.3">
      <c r="C11" s="4"/>
      <c r="D11" s="17" t="s">
        <v>104</v>
      </c>
      <c r="E11" s="36">
        <f>IFERROR('Data Values'!K16/K30*100,0)</f>
        <v>0</v>
      </c>
      <c r="F11" s="25"/>
      <c r="G11" s="17" t="s">
        <v>104</v>
      </c>
      <c r="H11" s="36">
        <f>IFERROR('Data Values'!O16/K30*100,0)</f>
        <v>0</v>
      </c>
      <c r="I11" s="25"/>
      <c r="J11" s="17" t="s">
        <v>104</v>
      </c>
      <c r="K11" s="36">
        <f>IFERROR('Data Values'!S16/K30*100,0)</f>
        <v>0</v>
      </c>
      <c r="L11" s="6"/>
    </row>
    <row r="12" spans="3:12" x14ac:dyDescent="0.3">
      <c r="C12" s="4"/>
      <c r="D12" s="5"/>
      <c r="E12" s="25"/>
      <c r="F12" s="25"/>
      <c r="G12" s="25"/>
      <c r="H12" s="25"/>
      <c r="I12" s="25"/>
      <c r="J12" s="25"/>
      <c r="K12" s="25"/>
      <c r="L12" s="6"/>
    </row>
    <row r="13" spans="3:12" x14ac:dyDescent="0.3">
      <c r="C13" s="4"/>
      <c r="D13" s="5"/>
      <c r="E13" s="25"/>
      <c r="F13" s="25"/>
      <c r="G13" s="25"/>
      <c r="H13" s="25"/>
      <c r="I13" s="25"/>
      <c r="J13" s="25"/>
      <c r="K13" s="25"/>
      <c r="L13" s="6"/>
    </row>
    <row r="14" spans="3:12" x14ac:dyDescent="0.3">
      <c r="C14" s="4"/>
      <c r="D14" s="28" t="s">
        <v>73</v>
      </c>
      <c r="E14" s="27" t="s">
        <v>102</v>
      </c>
      <c r="F14" s="25"/>
      <c r="G14" s="29" t="s">
        <v>74</v>
      </c>
      <c r="H14" s="27" t="s">
        <v>102</v>
      </c>
      <c r="I14" s="25"/>
      <c r="J14" s="29" t="s">
        <v>75</v>
      </c>
      <c r="K14" s="27" t="s">
        <v>102</v>
      </c>
      <c r="L14" s="6"/>
    </row>
    <row r="15" spans="3:12" x14ac:dyDescent="0.3">
      <c r="C15" s="4"/>
      <c r="D15" s="11"/>
      <c r="E15" s="27"/>
      <c r="F15" s="25"/>
      <c r="G15" s="27"/>
      <c r="H15" s="27"/>
      <c r="I15" s="25"/>
      <c r="J15" s="27"/>
      <c r="K15" s="27"/>
      <c r="L15" s="6"/>
    </row>
    <row r="16" spans="3:12" x14ac:dyDescent="0.3">
      <c r="C16" s="4"/>
      <c r="D16" s="17" t="s">
        <v>94</v>
      </c>
      <c r="E16" s="24">
        <f>IFERROR(('Data Values'!K23-'Data Values'!K29)/'Wood Calculator'!H6*100,0)</f>
        <v>0</v>
      </c>
      <c r="F16" s="25"/>
      <c r="G16" s="26" t="s">
        <v>94</v>
      </c>
      <c r="H16" s="24">
        <f>IFERROR(('Data Values'!O23-'Data Values'!O20)/'Wood Calculator'!H6*100,0)</f>
        <v>42.346891405910604</v>
      </c>
      <c r="I16" s="25"/>
      <c r="J16" s="26" t="s">
        <v>94</v>
      </c>
      <c r="K16" s="24">
        <f>IFERROR(('Data Values'!S23-'Data Values'!S29)/'Wood Calculator'!H6*100,0)</f>
        <v>3.9480679716254534</v>
      </c>
      <c r="L16" s="6"/>
    </row>
    <row r="17" spans="3:12" x14ac:dyDescent="0.3">
      <c r="C17" s="4"/>
      <c r="D17" s="17" t="s">
        <v>95</v>
      </c>
      <c r="E17" s="24">
        <f>IFERROR(('Data Values'!K22-'Data Values'!K24)/'Wood Calculator'!H6*100,0)</f>
        <v>17.361081847807117</v>
      </c>
      <c r="F17" s="25"/>
      <c r="G17" s="26" t="s">
        <v>95</v>
      </c>
      <c r="H17" s="24">
        <f>IFERROR(('Data Values'!O22-'Data Values'!O24)/'Wood Calculator'!H6*100,0)</f>
        <v>33.294320752487792</v>
      </c>
      <c r="I17" s="25"/>
      <c r="J17" s="26" t="s">
        <v>95</v>
      </c>
      <c r="K17" s="24">
        <f>IFERROR(('Data Values'!S22-'Data Values'!S24)/'Wood Calculator'!H6*100,0)</f>
        <v>3.3654736372664993</v>
      </c>
      <c r="L17" s="6"/>
    </row>
    <row r="18" spans="3:12" x14ac:dyDescent="0.3">
      <c r="C18" s="4"/>
      <c r="D18" s="5"/>
      <c r="E18" s="25"/>
      <c r="F18" s="25"/>
      <c r="G18" s="26"/>
      <c r="H18" s="25"/>
      <c r="I18" s="25"/>
      <c r="J18" s="25"/>
      <c r="K18" s="25"/>
      <c r="L18" s="6"/>
    </row>
    <row r="19" spans="3:12" x14ac:dyDescent="0.3">
      <c r="C19" s="4"/>
      <c r="D19" s="5"/>
      <c r="E19" s="25"/>
      <c r="F19" s="25"/>
      <c r="G19" s="25"/>
      <c r="H19" s="25"/>
      <c r="I19" s="25"/>
      <c r="J19" s="25"/>
      <c r="K19" s="25"/>
      <c r="L19" s="6"/>
    </row>
    <row r="20" spans="3:12" x14ac:dyDescent="0.3">
      <c r="C20" s="4"/>
      <c r="D20" s="5"/>
      <c r="E20" s="25"/>
      <c r="F20" s="25"/>
      <c r="G20" s="25"/>
      <c r="H20" s="25"/>
      <c r="I20" s="25"/>
      <c r="J20" s="25"/>
      <c r="K20" s="25"/>
      <c r="L20" s="6"/>
    </row>
    <row r="21" spans="3:12" x14ac:dyDescent="0.3">
      <c r="C21" s="4"/>
      <c r="D21" s="5"/>
      <c r="E21" s="25"/>
      <c r="F21" s="25"/>
      <c r="G21" s="25"/>
      <c r="H21" s="25"/>
      <c r="I21" s="25"/>
      <c r="J21" s="25"/>
      <c r="K21" s="25"/>
      <c r="L21" s="6"/>
    </row>
    <row r="22" spans="3:12" x14ac:dyDescent="0.3">
      <c r="C22" s="4"/>
      <c r="D22" s="5"/>
      <c r="E22" s="25"/>
      <c r="F22" s="25"/>
      <c r="G22" s="25"/>
      <c r="H22" s="25"/>
      <c r="I22" s="25"/>
      <c r="J22" s="25"/>
      <c r="K22" s="25"/>
      <c r="L22" s="6"/>
    </row>
    <row r="23" spans="3:12" x14ac:dyDescent="0.3">
      <c r="C23" s="4"/>
      <c r="D23" s="28" t="s">
        <v>70</v>
      </c>
      <c r="E23" s="27" t="s">
        <v>102</v>
      </c>
      <c r="F23" s="27"/>
      <c r="G23" s="29" t="s">
        <v>71</v>
      </c>
      <c r="H23" s="27" t="s">
        <v>102</v>
      </c>
      <c r="I23" s="25"/>
      <c r="J23" s="29" t="s">
        <v>72</v>
      </c>
      <c r="K23" s="27" t="s">
        <v>102</v>
      </c>
      <c r="L23" s="6"/>
    </row>
    <row r="24" spans="3:12" x14ac:dyDescent="0.3">
      <c r="C24" s="4"/>
      <c r="D24" s="5"/>
      <c r="E24" s="25"/>
      <c r="F24" s="25"/>
      <c r="G24" s="25"/>
      <c r="H24" s="25"/>
      <c r="I24" s="25"/>
      <c r="J24" s="25"/>
      <c r="K24" s="25"/>
      <c r="L24" s="6"/>
    </row>
    <row r="25" spans="3:12" x14ac:dyDescent="0.3">
      <c r="C25" s="4"/>
      <c r="D25" s="17" t="s">
        <v>96</v>
      </c>
      <c r="E25" s="24">
        <f>IFERROR(('Data Values'!K38+'Data Values'!K39)/'Wood Calculator'!H6*100,0)</f>
        <v>0</v>
      </c>
      <c r="F25" s="25"/>
      <c r="G25" s="26" t="s">
        <v>96</v>
      </c>
      <c r="H25" s="24">
        <f>IFERROR(('Data Values'!O38+'Data Values'!O39)/'Wood Calculator'!H6*100,0)</f>
        <v>0</v>
      </c>
      <c r="I25" s="25"/>
      <c r="J25" s="26" t="s">
        <v>96</v>
      </c>
      <c r="K25" s="24">
        <f>IFERROR(('Data Values'!S38+'Data Values'!S39)/'Wood Calculator'!H6*100,0)</f>
        <v>0</v>
      </c>
      <c r="L25" s="6"/>
    </row>
    <row r="26" spans="3:12" x14ac:dyDescent="0.3">
      <c r="C26" s="4"/>
      <c r="D26" s="5"/>
      <c r="E26" s="5"/>
      <c r="F26" s="5"/>
      <c r="G26" s="5"/>
      <c r="H26" s="5"/>
      <c r="I26" s="5"/>
      <c r="J26" s="5"/>
      <c r="K26" s="5"/>
      <c r="L26" s="6"/>
    </row>
    <row r="27" spans="3:12" x14ac:dyDescent="0.3">
      <c r="C27" s="4"/>
      <c r="D27" s="5"/>
      <c r="E27" s="5"/>
      <c r="F27" s="5"/>
      <c r="G27" s="5"/>
      <c r="H27" s="5"/>
      <c r="I27" s="5"/>
      <c r="J27" s="5"/>
      <c r="K27" s="5"/>
      <c r="L27" s="6"/>
    </row>
    <row r="28" spans="3:12" x14ac:dyDescent="0.3">
      <c r="C28" s="4"/>
      <c r="D28" s="28"/>
      <c r="E28" s="5"/>
      <c r="F28" s="5"/>
      <c r="G28" s="5"/>
      <c r="H28" s="5"/>
      <c r="I28" s="5"/>
      <c r="J28" s="5"/>
      <c r="K28" s="5"/>
      <c r="L28" s="6"/>
    </row>
    <row r="29" spans="3:12" x14ac:dyDescent="0.3">
      <c r="C29" s="4"/>
      <c r="D29" s="17"/>
      <c r="E29" s="25"/>
      <c r="F29" s="5"/>
      <c r="G29" s="5"/>
      <c r="H29" s="5"/>
      <c r="I29" s="5"/>
      <c r="J29" s="28" t="s">
        <v>15</v>
      </c>
      <c r="K29" s="5"/>
      <c r="L29" s="6"/>
    </row>
    <row r="30" spans="3:12" x14ac:dyDescent="0.3">
      <c r="C30" s="4"/>
      <c r="D30" s="17"/>
      <c r="E30" s="25"/>
      <c r="F30" s="5"/>
      <c r="G30" s="5"/>
      <c r="H30" s="5"/>
      <c r="I30" s="5"/>
      <c r="J30" s="17" t="s">
        <v>26</v>
      </c>
      <c r="K30" s="24">
        <f>'Data Values'!K14+'Data Values'!O14+'Data Values'!S14+'Data Values'!K31+'Data Values'!O31+'Data Values'!S31+'Data Values'!K45+'Data Values'!O45+'Data Values'!S45</f>
        <v>2305.9160619892782</v>
      </c>
      <c r="L30" s="6"/>
    </row>
    <row r="31" spans="3:12" x14ac:dyDescent="0.3">
      <c r="C31" s="4"/>
      <c r="D31" s="17"/>
      <c r="E31" s="25"/>
      <c r="F31" s="5"/>
      <c r="G31" s="5"/>
      <c r="H31" s="5"/>
      <c r="I31" s="5"/>
      <c r="J31" s="17" t="s">
        <v>25</v>
      </c>
      <c r="K31" s="24">
        <f>K30*0.5</f>
        <v>1152.9580309946391</v>
      </c>
      <c r="L31" s="6"/>
    </row>
    <row r="32" spans="3:12" x14ac:dyDescent="0.3">
      <c r="C32" s="4"/>
      <c r="D32" s="5"/>
      <c r="E32" s="5"/>
      <c r="F32" s="5"/>
      <c r="G32" s="5"/>
      <c r="H32" s="5"/>
      <c r="I32" s="5"/>
      <c r="J32" s="17" t="s">
        <v>101</v>
      </c>
      <c r="K32" s="37">
        <f>K31/0.75/1000</f>
        <v>1.5372773746595187</v>
      </c>
      <c r="L32" s="6"/>
    </row>
    <row r="33" spans="3:12" x14ac:dyDescent="0.3">
      <c r="C33" s="4"/>
      <c r="D33" s="5"/>
      <c r="E33" s="5"/>
      <c r="F33" s="5"/>
      <c r="G33" s="5"/>
      <c r="H33" s="5"/>
      <c r="I33" s="5"/>
      <c r="J33" s="17" t="s">
        <v>107</v>
      </c>
      <c r="K33" s="36">
        <f>IFERROR(K30/((SQRT('Wood Calculator'!E12)*2)+(SQRT('Wood Calculator'!E23)*2*(+(SQRT('Wood Calculator'!E34)*2)))),0)</f>
        <v>106.18789578185432</v>
      </c>
      <c r="L33" s="6"/>
    </row>
    <row r="34" spans="3:12" x14ac:dyDescent="0.3">
      <c r="C34" s="7"/>
      <c r="D34" s="8"/>
      <c r="E34" s="8"/>
      <c r="F34" s="8"/>
      <c r="G34" s="8"/>
      <c r="H34" s="8"/>
      <c r="I34" s="8"/>
      <c r="J34" s="8"/>
      <c r="K34" s="8"/>
      <c r="L34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AFAFC-2659-4E7D-9442-024F05692A38}">
  <dimension ref="C2:V87"/>
  <sheetViews>
    <sheetView tabSelected="1" zoomScaleNormal="100" workbookViewId="0">
      <selection activeCell="E50" sqref="E50"/>
    </sheetView>
  </sheetViews>
  <sheetFormatPr defaultRowHeight="14.4" x14ac:dyDescent="0.3"/>
  <cols>
    <col min="4" max="4" width="27.5546875" customWidth="1"/>
    <col min="5" max="5" width="18.77734375" customWidth="1"/>
    <col min="6" max="6" width="5.88671875" customWidth="1"/>
    <col min="7" max="7" width="32.33203125" customWidth="1"/>
    <col min="8" max="8" width="18.77734375" customWidth="1"/>
    <col min="9" max="9" width="3.88671875" customWidth="1"/>
    <col min="10" max="10" width="22.109375" customWidth="1"/>
    <col min="11" max="11" width="18.77734375" customWidth="1"/>
  </cols>
  <sheetData>
    <row r="2" spans="3:22" x14ac:dyDescent="0.3">
      <c r="C2" s="1"/>
      <c r="D2" s="2"/>
      <c r="E2" s="2"/>
      <c r="F2" s="2"/>
      <c r="G2" s="2"/>
      <c r="H2" s="2"/>
      <c r="I2" s="2"/>
      <c r="J2" s="2"/>
      <c r="K2" s="2"/>
      <c r="L2" s="3"/>
    </row>
    <row r="3" spans="3:22" x14ac:dyDescent="0.3">
      <c r="C3" s="4"/>
      <c r="D3" s="5"/>
      <c r="E3" s="15" t="s">
        <v>17</v>
      </c>
      <c r="F3" s="5"/>
      <c r="G3" s="16" t="s">
        <v>16</v>
      </c>
      <c r="H3" s="5"/>
      <c r="I3" s="5"/>
      <c r="J3" s="5"/>
      <c r="K3" s="5"/>
      <c r="L3" s="6"/>
    </row>
    <row r="4" spans="3:22" x14ac:dyDescent="0.3">
      <c r="C4" s="4"/>
      <c r="D4" s="5"/>
      <c r="E4" s="5"/>
      <c r="F4" s="5"/>
      <c r="G4" s="5"/>
      <c r="H4" s="5"/>
      <c r="I4" s="5"/>
      <c r="J4" s="5"/>
      <c r="K4" s="5"/>
      <c r="L4" s="6"/>
    </row>
    <row r="5" spans="3:22" x14ac:dyDescent="0.3">
      <c r="C5" s="4"/>
      <c r="D5" s="5"/>
      <c r="E5" s="5"/>
      <c r="F5" s="5"/>
      <c r="G5" s="28" t="s">
        <v>15</v>
      </c>
      <c r="H5" s="5"/>
      <c r="I5" s="5"/>
      <c r="J5" s="5"/>
      <c r="K5" s="5"/>
      <c r="L5" s="6"/>
      <c r="N5" s="21" t="s">
        <v>40</v>
      </c>
      <c r="O5" s="21"/>
      <c r="P5" s="21"/>
      <c r="Q5" s="21"/>
      <c r="R5" s="21"/>
      <c r="S5" s="21"/>
      <c r="T5" s="21"/>
      <c r="U5" s="21"/>
      <c r="V5" s="23"/>
    </row>
    <row r="6" spans="3:22" x14ac:dyDescent="0.3">
      <c r="C6" s="4"/>
      <c r="D6" s="5"/>
      <c r="E6" s="5"/>
      <c r="F6" s="5"/>
      <c r="G6" s="17" t="s">
        <v>26</v>
      </c>
      <c r="H6" s="24">
        <f>'Data Values'!K14+'Data Values'!O14+'Data Values'!S14+'Data Values'!K31+'Data Values'!O31+'Data Values'!S31+'Data Values'!K45+'Data Values'!O45+'Data Values'!S45</f>
        <v>2305.9160619892782</v>
      </c>
      <c r="I6" s="5"/>
      <c r="J6" s="5"/>
      <c r="K6" s="5"/>
      <c r="L6" s="6"/>
      <c r="N6" s="21"/>
      <c r="O6" s="21"/>
      <c r="P6" s="21"/>
      <c r="Q6" s="21"/>
      <c r="R6" s="21"/>
      <c r="S6" s="21"/>
      <c r="T6" s="21"/>
      <c r="U6" s="21"/>
      <c r="V6" s="23"/>
    </row>
    <row r="7" spans="3:22" x14ac:dyDescent="0.3">
      <c r="C7" s="4"/>
      <c r="D7" s="5"/>
      <c r="E7" s="5"/>
      <c r="F7" s="5"/>
      <c r="G7" s="17" t="s">
        <v>25</v>
      </c>
      <c r="H7" s="24">
        <f>H6*0.5</f>
        <v>1152.9580309946391</v>
      </c>
      <c r="I7" s="5"/>
      <c r="J7" s="5"/>
      <c r="K7" s="5"/>
      <c r="L7" s="6"/>
      <c r="N7" s="21" t="s">
        <v>41</v>
      </c>
      <c r="O7" s="21"/>
      <c r="P7" s="21"/>
      <c r="Q7" s="21"/>
      <c r="R7" s="21"/>
      <c r="S7" s="21"/>
      <c r="T7" s="21"/>
      <c r="U7" s="21"/>
      <c r="V7" s="23"/>
    </row>
    <row r="8" spans="3:22" x14ac:dyDescent="0.3">
      <c r="C8" s="4"/>
      <c r="D8" s="5"/>
      <c r="E8" s="5"/>
      <c r="F8" s="5"/>
      <c r="G8" s="17" t="s">
        <v>66</v>
      </c>
      <c r="H8" s="24">
        <f>H7/0.75/1000</f>
        <v>1.5372773746595187</v>
      </c>
      <c r="I8" s="5"/>
      <c r="J8" s="5"/>
      <c r="K8" s="5"/>
      <c r="L8" s="6"/>
      <c r="N8" s="21" t="s">
        <v>65</v>
      </c>
      <c r="O8" s="21"/>
      <c r="P8" s="21"/>
      <c r="Q8" s="21"/>
      <c r="R8" s="21"/>
      <c r="S8" s="21"/>
      <c r="T8" s="21"/>
      <c r="U8" s="21"/>
      <c r="V8" s="23"/>
    </row>
    <row r="9" spans="3:22" ht="18" x14ac:dyDescent="0.35">
      <c r="C9" s="4"/>
      <c r="D9" s="14" t="s">
        <v>0</v>
      </c>
      <c r="E9" s="30" t="s">
        <v>108</v>
      </c>
      <c r="F9" s="5"/>
      <c r="G9" s="5"/>
      <c r="H9" s="5"/>
      <c r="I9" s="5"/>
      <c r="J9" s="5"/>
      <c r="K9" s="5"/>
      <c r="L9" s="6"/>
      <c r="N9" s="21"/>
      <c r="O9" s="21"/>
      <c r="P9" s="21"/>
      <c r="Q9" s="21"/>
      <c r="R9" s="21"/>
      <c r="S9" s="21"/>
      <c r="T9" s="21"/>
      <c r="U9" s="21"/>
      <c r="V9" s="23"/>
    </row>
    <row r="10" spans="3:22" x14ac:dyDescent="0.3">
      <c r="C10" s="4"/>
      <c r="D10" s="5"/>
      <c r="E10" s="5"/>
      <c r="F10" s="5"/>
      <c r="G10" s="5"/>
      <c r="H10" s="5"/>
      <c r="I10" s="5"/>
      <c r="J10" s="5"/>
      <c r="K10" s="5"/>
      <c r="L10" s="6"/>
      <c r="N10" s="21" t="s">
        <v>99</v>
      </c>
      <c r="O10" s="21"/>
      <c r="P10" s="21"/>
      <c r="Q10" s="21"/>
      <c r="R10" s="21"/>
      <c r="S10" s="21"/>
      <c r="T10" s="21"/>
      <c r="U10" s="21"/>
      <c r="V10" s="23"/>
    </row>
    <row r="11" spans="3:22" x14ac:dyDescent="0.3">
      <c r="C11" s="4"/>
      <c r="D11" s="11" t="s">
        <v>24</v>
      </c>
      <c r="E11" s="8"/>
      <c r="F11" s="5"/>
      <c r="G11" s="11" t="s">
        <v>19</v>
      </c>
      <c r="H11" s="5"/>
      <c r="I11" s="5"/>
      <c r="J11" s="11" t="s">
        <v>2</v>
      </c>
      <c r="K11" s="5"/>
      <c r="L11" s="6"/>
      <c r="N11" s="21"/>
      <c r="O11" s="21"/>
      <c r="P11" s="21"/>
      <c r="Q11" s="21"/>
      <c r="R11" s="21"/>
      <c r="S11" s="21"/>
      <c r="T11" s="21"/>
      <c r="U11" s="21"/>
      <c r="V11" s="23"/>
    </row>
    <row r="12" spans="3:22" ht="16.2" x14ac:dyDescent="0.3">
      <c r="C12" s="4"/>
      <c r="D12" s="5" t="s">
        <v>22</v>
      </c>
      <c r="E12" s="13">
        <v>117.89</v>
      </c>
      <c r="F12" s="5"/>
      <c r="G12" s="5" t="s">
        <v>23</v>
      </c>
      <c r="H12" s="10">
        <f>3.45+3.89+15.05+29.78</f>
        <v>52.17</v>
      </c>
      <c r="I12" s="5"/>
      <c r="J12" s="5" t="s">
        <v>78</v>
      </c>
      <c r="K12" s="10">
        <v>634.76</v>
      </c>
      <c r="L12" s="6"/>
      <c r="N12" s="21" t="s">
        <v>98</v>
      </c>
      <c r="O12" s="21"/>
      <c r="P12" s="21"/>
      <c r="Q12" s="21"/>
      <c r="R12" s="21"/>
      <c r="S12" s="21"/>
      <c r="T12" s="21"/>
      <c r="U12" s="21"/>
      <c r="V12" s="23"/>
    </row>
    <row r="13" spans="3:22" x14ac:dyDescent="0.3">
      <c r="C13" s="4"/>
      <c r="D13" s="5" t="s">
        <v>18</v>
      </c>
      <c r="E13" s="15" t="s">
        <v>7</v>
      </c>
      <c r="F13" s="5"/>
      <c r="G13" s="5" t="s">
        <v>18</v>
      </c>
      <c r="H13" s="15" t="s">
        <v>7</v>
      </c>
      <c r="I13" s="5"/>
      <c r="J13" s="5" t="s">
        <v>3</v>
      </c>
      <c r="K13" s="15" t="s">
        <v>9</v>
      </c>
      <c r="L13" s="6"/>
    </row>
    <row r="14" spans="3:22" x14ac:dyDescent="0.3">
      <c r="C14" s="4"/>
      <c r="D14" s="5" t="s">
        <v>11</v>
      </c>
      <c r="E14" s="10">
        <v>24</v>
      </c>
      <c r="F14" s="5"/>
      <c r="G14" s="5" t="s">
        <v>11</v>
      </c>
      <c r="H14" s="10">
        <v>24</v>
      </c>
      <c r="I14" s="5"/>
      <c r="J14" s="5" t="s">
        <v>11</v>
      </c>
      <c r="K14" s="10">
        <v>16</v>
      </c>
      <c r="L14" s="6"/>
    </row>
    <row r="15" spans="3:22" x14ac:dyDescent="0.3">
      <c r="C15" s="4"/>
      <c r="D15" s="5" t="s">
        <v>12</v>
      </c>
      <c r="E15" s="10">
        <v>10</v>
      </c>
      <c r="F15" s="5"/>
      <c r="G15" s="5" t="s">
        <v>12</v>
      </c>
      <c r="H15" s="10">
        <v>10</v>
      </c>
      <c r="I15" s="5"/>
      <c r="J15" s="5"/>
      <c r="K15" s="5"/>
      <c r="L15" s="6"/>
    </row>
    <row r="16" spans="3:22" x14ac:dyDescent="0.3">
      <c r="C16" s="4"/>
      <c r="D16" s="5" t="s">
        <v>20</v>
      </c>
      <c r="E16" s="10">
        <v>10</v>
      </c>
      <c r="F16" s="5"/>
      <c r="G16" s="5" t="s">
        <v>20</v>
      </c>
      <c r="H16" s="10">
        <v>0</v>
      </c>
      <c r="I16" s="5"/>
      <c r="J16" s="5"/>
      <c r="K16" s="5"/>
      <c r="L16" s="6"/>
    </row>
    <row r="17" spans="3:17" x14ac:dyDescent="0.3">
      <c r="C17" s="4"/>
      <c r="D17" s="5" t="s">
        <v>10</v>
      </c>
      <c r="E17" s="10">
        <v>2</v>
      </c>
      <c r="F17" s="5"/>
      <c r="G17" s="5" t="s">
        <v>10</v>
      </c>
      <c r="H17" s="10">
        <v>0</v>
      </c>
      <c r="I17" s="5"/>
      <c r="J17" s="5"/>
      <c r="K17" s="5"/>
      <c r="L17" s="6"/>
    </row>
    <row r="18" spans="3:17" x14ac:dyDescent="0.3">
      <c r="C18" s="4"/>
      <c r="D18" s="5" t="s">
        <v>21</v>
      </c>
      <c r="E18" s="10">
        <v>7</v>
      </c>
      <c r="F18" s="5"/>
      <c r="G18" s="5"/>
      <c r="H18" s="5"/>
      <c r="I18" s="5"/>
      <c r="J18" s="5"/>
      <c r="K18" s="5"/>
      <c r="L18" s="6"/>
    </row>
    <row r="19" spans="3:17" x14ac:dyDescent="0.3">
      <c r="C19" s="4"/>
      <c r="D19" s="5"/>
      <c r="E19" s="5"/>
      <c r="F19" s="5"/>
      <c r="G19" s="5"/>
      <c r="H19" s="5"/>
      <c r="I19" s="5"/>
      <c r="J19" s="5"/>
      <c r="K19" s="5"/>
      <c r="L19" s="6"/>
      <c r="Q19" s="12"/>
    </row>
    <row r="20" spans="3:17" ht="18" x14ac:dyDescent="0.35">
      <c r="C20" s="4"/>
      <c r="D20" s="14" t="s">
        <v>4</v>
      </c>
      <c r="E20" s="30" t="s">
        <v>109</v>
      </c>
      <c r="F20" s="5"/>
      <c r="G20" s="5"/>
      <c r="H20" s="5"/>
      <c r="I20" s="5"/>
      <c r="J20" s="5"/>
      <c r="K20" s="5"/>
      <c r="L20" s="6"/>
    </row>
    <row r="21" spans="3:17" x14ac:dyDescent="0.3">
      <c r="C21" s="4"/>
      <c r="D21" s="5"/>
      <c r="E21" s="5"/>
      <c r="F21" s="5"/>
      <c r="G21" s="5"/>
      <c r="H21" s="5"/>
      <c r="I21" s="5"/>
      <c r="J21" s="5"/>
      <c r="K21" s="5"/>
      <c r="L21" s="6"/>
    </row>
    <row r="22" spans="3:17" x14ac:dyDescent="0.3">
      <c r="C22" s="4"/>
      <c r="D22" s="11" t="s">
        <v>24</v>
      </c>
      <c r="E22" s="8"/>
      <c r="F22" s="5"/>
      <c r="G22" s="11" t="s">
        <v>19</v>
      </c>
      <c r="H22" s="5"/>
      <c r="I22" s="5"/>
      <c r="J22" s="11" t="s">
        <v>2</v>
      </c>
      <c r="K22" s="5"/>
      <c r="L22" s="6"/>
    </row>
    <row r="23" spans="3:17" ht="16.2" x14ac:dyDescent="0.3">
      <c r="C23" s="4"/>
      <c r="D23" s="5" t="s">
        <v>22</v>
      </c>
      <c r="E23" s="13">
        <v>127.85</v>
      </c>
      <c r="F23" s="5"/>
      <c r="G23" s="5" t="s">
        <v>23</v>
      </c>
      <c r="H23" s="10">
        <v>0</v>
      </c>
      <c r="I23" s="5"/>
      <c r="J23" s="5" t="s">
        <v>78</v>
      </c>
      <c r="K23" s="10">
        <v>538.76</v>
      </c>
      <c r="L23" s="6"/>
    </row>
    <row r="24" spans="3:17" x14ac:dyDescent="0.3">
      <c r="C24" s="4"/>
      <c r="D24" s="5" t="s">
        <v>18</v>
      </c>
      <c r="E24" s="15" t="s">
        <v>7</v>
      </c>
      <c r="F24" s="5"/>
      <c r="G24" s="5" t="s">
        <v>18</v>
      </c>
      <c r="H24" s="15" t="s">
        <v>59</v>
      </c>
      <c r="I24" s="5"/>
      <c r="J24" s="5" t="s">
        <v>3</v>
      </c>
      <c r="K24" s="15" t="s">
        <v>9</v>
      </c>
      <c r="L24" s="6"/>
    </row>
    <row r="25" spans="3:17" x14ac:dyDescent="0.3">
      <c r="C25" s="4"/>
      <c r="D25" s="5" t="s">
        <v>11</v>
      </c>
      <c r="E25" s="10">
        <v>16</v>
      </c>
      <c r="F25" s="5"/>
      <c r="G25" s="5" t="s">
        <v>11</v>
      </c>
      <c r="H25" s="10">
        <v>0</v>
      </c>
      <c r="I25" s="5"/>
      <c r="J25" s="5" t="s">
        <v>11</v>
      </c>
      <c r="K25" s="10">
        <v>16</v>
      </c>
      <c r="L25" s="6"/>
    </row>
    <row r="26" spans="3:17" x14ac:dyDescent="0.3">
      <c r="C26" s="4"/>
      <c r="D26" s="5" t="s">
        <v>12</v>
      </c>
      <c r="E26" s="10">
        <v>5.31</v>
      </c>
      <c r="F26" s="5"/>
      <c r="G26" s="5" t="s">
        <v>12</v>
      </c>
      <c r="H26" s="10">
        <v>5.31</v>
      </c>
      <c r="I26" s="5"/>
      <c r="J26" s="5"/>
      <c r="K26" s="5"/>
      <c r="L26" s="6"/>
    </row>
    <row r="27" spans="3:17" x14ac:dyDescent="0.3">
      <c r="C27" s="4"/>
      <c r="D27" s="5" t="s">
        <v>20</v>
      </c>
      <c r="E27" s="10">
        <v>14</v>
      </c>
      <c r="F27" s="5"/>
      <c r="G27" s="5" t="s">
        <v>20</v>
      </c>
      <c r="H27" s="10">
        <v>0</v>
      </c>
      <c r="I27" s="5"/>
      <c r="J27" s="5"/>
      <c r="K27" s="5"/>
      <c r="L27" s="6"/>
    </row>
    <row r="28" spans="3:17" x14ac:dyDescent="0.3">
      <c r="C28" s="4"/>
      <c r="D28" s="5" t="s">
        <v>10</v>
      </c>
      <c r="E28" s="10">
        <v>0</v>
      </c>
      <c r="F28" s="5"/>
      <c r="G28" s="5" t="s">
        <v>10</v>
      </c>
      <c r="H28" s="10">
        <v>0</v>
      </c>
      <c r="I28" s="5"/>
      <c r="J28" s="5"/>
      <c r="K28" s="5"/>
      <c r="L28" s="6"/>
    </row>
    <row r="29" spans="3:17" x14ac:dyDescent="0.3">
      <c r="C29" s="4"/>
      <c r="D29" s="5" t="s">
        <v>21</v>
      </c>
      <c r="E29" s="10">
        <v>4</v>
      </c>
      <c r="F29" s="5"/>
      <c r="G29" s="5"/>
      <c r="H29" s="5"/>
      <c r="I29" s="5"/>
      <c r="J29" s="5"/>
      <c r="K29" s="5"/>
      <c r="L29" s="6"/>
    </row>
    <row r="30" spans="3:17" x14ac:dyDescent="0.3">
      <c r="C30" s="4"/>
      <c r="D30" s="5"/>
      <c r="E30" s="5"/>
      <c r="F30" s="5"/>
      <c r="G30" s="5"/>
      <c r="H30" s="5"/>
      <c r="I30" s="5"/>
      <c r="J30" s="5"/>
      <c r="K30" s="5"/>
      <c r="L30" s="6"/>
    </row>
    <row r="31" spans="3:17" ht="18" x14ac:dyDescent="0.35">
      <c r="C31" s="4"/>
      <c r="D31" s="14" t="s">
        <v>5</v>
      </c>
      <c r="E31" s="30" t="s">
        <v>100</v>
      </c>
      <c r="F31" s="5"/>
      <c r="G31" s="5"/>
      <c r="H31" s="5"/>
      <c r="I31" s="5"/>
      <c r="J31" s="5"/>
      <c r="K31" s="5"/>
      <c r="L31" s="6"/>
    </row>
    <row r="32" spans="3:17" x14ac:dyDescent="0.3">
      <c r="C32" s="4"/>
      <c r="D32" s="5"/>
      <c r="E32" s="5"/>
      <c r="F32" s="5"/>
      <c r="G32" s="5"/>
      <c r="H32" s="5"/>
      <c r="I32" s="5"/>
      <c r="J32" s="5"/>
      <c r="K32" s="5"/>
      <c r="L32" s="6"/>
    </row>
    <row r="33" spans="3:12" x14ac:dyDescent="0.3">
      <c r="C33" s="4"/>
      <c r="D33" s="11" t="s">
        <v>24</v>
      </c>
      <c r="E33" s="8"/>
      <c r="F33" s="5"/>
      <c r="G33" s="11" t="s">
        <v>19</v>
      </c>
      <c r="H33" s="5"/>
      <c r="I33" s="5"/>
      <c r="J33" s="11" t="s">
        <v>2</v>
      </c>
      <c r="K33" s="5"/>
      <c r="L33" s="6"/>
    </row>
    <row r="34" spans="3:12" ht="16.2" x14ac:dyDescent="0.3">
      <c r="C34" s="4"/>
      <c r="D34" s="5" t="s">
        <v>22</v>
      </c>
      <c r="E34" s="13">
        <v>0</v>
      </c>
      <c r="F34" s="5"/>
      <c r="G34" s="5" t="s">
        <v>23</v>
      </c>
      <c r="H34" s="10">
        <v>0</v>
      </c>
      <c r="I34" s="5"/>
      <c r="J34" s="5" t="s">
        <v>78</v>
      </c>
      <c r="K34" s="10">
        <v>0</v>
      </c>
      <c r="L34" s="6"/>
    </row>
    <row r="35" spans="3:12" x14ac:dyDescent="0.3">
      <c r="C35" s="4"/>
      <c r="D35" s="5" t="s">
        <v>18</v>
      </c>
      <c r="E35" s="15" t="s">
        <v>59</v>
      </c>
      <c r="F35" s="5"/>
      <c r="G35" s="5" t="s">
        <v>18</v>
      </c>
      <c r="H35" s="15" t="s">
        <v>59</v>
      </c>
      <c r="I35" s="5"/>
      <c r="J35" s="5" t="s">
        <v>3</v>
      </c>
      <c r="K35" s="15" t="s">
        <v>59</v>
      </c>
      <c r="L35" s="6"/>
    </row>
    <row r="36" spans="3:12" x14ac:dyDescent="0.3">
      <c r="C36" s="4"/>
      <c r="D36" s="5" t="s">
        <v>11</v>
      </c>
      <c r="E36" s="10">
        <v>0</v>
      </c>
      <c r="F36" s="5"/>
      <c r="G36" s="5" t="s">
        <v>11</v>
      </c>
      <c r="H36" s="10">
        <v>0</v>
      </c>
      <c r="I36" s="5"/>
      <c r="J36" s="5" t="s">
        <v>11</v>
      </c>
      <c r="K36" s="10">
        <v>0</v>
      </c>
      <c r="L36" s="6"/>
    </row>
    <row r="37" spans="3:12" x14ac:dyDescent="0.3">
      <c r="C37" s="4"/>
      <c r="D37" s="5" t="s">
        <v>12</v>
      </c>
      <c r="E37" s="10">
        <v>0</v>
      </c>
      <c r="F37" s="5"/>
      <c r="G37" s="5" t="s">
        <v>12</v>
      </c>
      <c r="H37" s="10">
        <v>0</v>
      </c>
      <c r="I37" s="5"/>
      <c r="J37" s="5"/>
      <c r="K37" s="5"/>
      <c r="L37" s="6"/>
    </row>
    <row r="38" spans="3:12" x14ac:dyDescent="0.3">
      <c r="C38" s="4"/>
      <c r="D38" s="5" t="s">
        <v>20</v>
      </c>
      <c r="E38" s="10">
        <v>0</v>
      </c>
      <c r="F38" s="5"/>
      <c r="G38" s="5" t="s">
        <v>20</v>
      </c>
      <c r="H38" s="10">
        <v>0</v>
      </c>
      <c r="I38" s="5"/>
      <c r="J38" s="5"/>
      <c r="K38" s="5"/>
      <c r="L38" s="6"/>
    </row>
    <row r="39" spans="3:12" x14ac:dyDescent="0.3">
      <c r="C39" s="4"/>
      <c r="D39" s="5" t="s">
        <v>10</v>
      </c>
      <c r="E39" s="10">
        <v>0</v>
      </c>
      <c r="F39" s="5"/>
      <c r="G39" s="5" t="s">
        <v>10</v>
      </c>
      <c r="H39" s="10">
        <v>0</v>
      </c>
      <c r="I39" s="5"/>
      <c r="J39" s="5"/>
      <c r="K39" s="5"/>
      <c r="L39" s="6"/>
    </row>
    <row r="40" spans="3:12" x14ac:dyDescent="0.3">
      <c r="C40" s="4"/>
      <c r="D40" s="5" t="s">
        <v>21</v>
      </c>
      <c r="E40" s="10">
        <v>0</v>
      </c>
      <c r="F40" s="5"/>
      <c r="G40" s="5"/>
      <c r="H40" s="5"/>
      <c r="I40" s="5"/>
      <c r="J40" s="5"/>
      <c r="K40" s="5"/>
      <c r="L40" s="6"/>
    </row>
    <row r="41" spans="3:12" x14ac:dyDescent="0.3">
      <c r="C41" s="4"/>
      <c r="D41" s="5"/>
      <c r="E41" s="5"/>
      <c r="F41" s="5"/>
      <c r="G41" s="5"/>
      <c r="H41" s="5"/>
      <c r="I41" s="5"/>
      <c r="J41" s="5"/>
      <c r="K41" s="5"/>
      <c r="L41" s="6"/>
    </row>
    <row r="42" spans="3:12" ht="18" x14ac:dyDescent="0.35">
      <c r="C42" s="4"/>
      <c r="D42" s="14" t="s">
        <v>73</v>
      </c>
      <c r="E42" s="30" t="s">
        <v>110</v>
      </c>
      <c r="F42" s="5"/>
      <c r="G42" s="14" t="s">
        <v>70</v>
      </c>
      <c r="H42" s="30"/>
      <c r="I42" s="5"/>
      <c r="J42" s="14"/>
      <c r="K42" s="5"/>
      <c r="L42" s="6"/>
    </row>
    <row r="43" spans="3:12" x14ac:dyDescent="0.3">
      <c r="C43" s="4"/>
      <c r="D43" s="5"/>
      <c r="E43" s="5"/>
      <c r="F43" s="5"/>
      <c r="G43" s="5"/>
      <c r="H43" s="5"/>
      <c r="I43" s="5"/>
      <c r="J43" s="5"/>
      <c r="K43" s="5"/>
      <c r="L43" s="6"/>
    </row>
    <row r="44" spans="3:12" ht="16.2" x14ac:dyDescent="0.3">
      <c r="C44" s="4"/>
      <c r="D44" s="5" t="s">
        <v>76</v>
      </c>
      <c r="E44" s="10">
        <v>275.88</v>
      </c>
      <c r="F44" s="5"/>
      <c r="G44" s="5" t="s">
        <v>88</v>
      </c>
      <c r="H44" s="10">
        <v>0</v>
      </c>
      <c r="I44" s="5"/>
      <c r="J44" s="5"/>
      <c r="K44" s="5"/>
      <c r="L44" s="6"/>
    </row>
    <row r="45" spans="3:12" x14ac:dyDescent="0.3">
      <c r="C45" s="4"/>
      <c r="D45" s="5" t="s">
        <v>6</v>
      </c>
      <c r="E45" s="15" t="s">
        <v>54</v>
      </c>
      <c r="F45" s="5"/>
      <c r="G45" s="5" t="s">
        <v>86</v>
      </c>
      <c r="H45" s="15" t="s">
        <v>59</v>
      </c>
      <c r="I45" s="5"/>
      <c r="J45" s="5"/>
      <c r="K45" s="5"/>
      <c r="L45" s="6"/>
    </row>
    <row r="46" spans="3:12" x14ac:dyDescent="0.3">
      <c r="C46" s="4"/>
      <c r="D46" s="5" t="s">
        <v>1</v>
      </c>
      <c r="E46" s="20" t="s">
        <v>9</v>
      </c>
      <c r="F46" s="5"/>
      <c r="G46" s="5" t="s">
        <v>87</v>
      </c>
      <c r="H46" s="10">
        <v>0</v>
      </c>
      <c r="I46" s="5"/>
      <c r="J46" s="5"/>
      <c r="K46" s="5"/>
      <c r="L46" s="6"/>
    </row>
    <row r="47" spans="3:12" x14ac:dyDescent="0.3">
      <c r="C47" s="4"/>
      <c r="D47" s="5" t="s">
        <v>67</v>
      </c>
      <c r="E47" s="10">
        <v>16</v>
      </c>
      <c r="F47" s="5"/>
      <c r="G47" s="5"/>
      <c r="H47" s="5"/>
      <c r="I47" s="5"/>
      <c r="J47" s="5"/>
      <c r="K47" s="5"/>
      <c r="L47" s="6"/>
    </row>
    <row r="48" spans="3:12" x14ac:dyDescent="0.3">
      <c r="C48" s="4"/>
      <c r="D48" s="5"/>
      <c r="E48" s="2"/>
      <c r="F48" s="5"/>
      <c r="G48" s="5"/>
      <c r="H48" s="5"/>
      <c r="I48" s="5"/>
      <c r="J48" s="5"/>
      <c r="K48" s="5"/>
      <c r="L48" s="6"/>
    </row>
    <row r="49" spans="3:12" ht="18" x14ac:dyDescent="0.35">
      <c r="C49" s="4"/>
      <c r="D49" s="14" t="s">
        <v>74</v>
      </c>
      <c r="E49" s="30" t="s">
        <v>43</v>
      </c>
      <c r="F49" s="5"/>
      <c r="G49" s="14" t="s">
        <v>71</v>
      </c>
      <c r="H49" s="30"/>
      <c r="I49" s="5"/>
      <c r="J49" s="14"/>
      <c r="K49" s="5"/>
      <c r="L49" s="6"/>
    </row>
    <row r="50" spans="3:12" x14ac:dyDescent="0.3">
      <c r="C50" s="4"/>
      <c r="D50" s="5"/>
      <c r="E50" s="5"/>
      <c r="F50" s="5"/>
      <c r="G50" s="5"/>
      <c r="H50" s="5"/>
      <c r="I50" s="5"/>
      <c r="J50" s="5"/>
      <c r="K50" s="5"/>
      <c r="L50" s="6"/>
    </row>
    <row r="51" spans="3:12" ht="16.2" x14ac:dyDescent="0.3">
      <c r="C51" s="4"/>
      <c r="D51" s="5" t="s">
        <v>76</v>
      </c>
      <c r="E51" s="10">
        <v>538.76</v>
      </c>
      <c r="F51" s="5"/>
      <c r="G51" s="5" t="s">
        <v>88</v>
      </c>
      <c r="H51" s="10">
        <v>0</v>
      </c>
      <c r="I51" s="5"/>
      <c r="J51" s="5"/>
      <c r="K51" s="5"/>
      <c r="L51" s="6"/>
    </row>
    <row r="52" spans="3:12" x14ac:dyDescent="0.3">
      <c r="C52" s="4"/>
      <c r="D52" s="5" t="s">
        <v>6</v>
      </c>
      <c r="E52" s="15" t="s">
        <v>54</v>
      </c>
      <c r="F52" s="5"/>
      <c r="G52" s="5" t="s">
        <v>86</v>
      </c>
      <c r="H52" s="15" t="s">
        <v>59</v>
      </c>
      <c r="I52" s="5"/>
      <c r="J52" s="5"/>
      <c r="K52" s="5"/>
      <c r="L52" s="6"/>
    </row>
    <row r="53" spans="3:12" x14ac:dyDescent="0.3">
      <c r="C53" s="4"/>
      <c r="D53" s="5" t="s">
        <v>1</v>
      </c>
      <c r="E53" s="20" t="s">
        <v>9</v>
      </c>
      <c r="F53" s="5"/>
      <c r="G53" s="5" t="s">
        <v>87</v>
      </c>
      <c r="H53" s="10">
        <v>0</v>
      </c>
      <c r="I53" s="5"/>
      <c r="J53" s="5"/>
      <c r="K53" s="5"/>
      <c r="L53" s="6"/>
    </row>
    <row r="54" spans="3:12" x14ac:dyDescent="0.3">
      <c r="C54" s="4"/>
      <c r="D54" s="5" t="s">
        <v>67</v>
      </c>
      <c r="E54" s="10">
        <v>16</v>
      </c>
      <c r="F54" s="5"/>
      <c r="G54" s="5"/>
      <c r="H54" s="5"/>
      <c r="I54" s="5"/>
      <c r="J54" s="5"/>
      <c r="K54" s="5"/>
      <c r="L54" s="6"/>
    </row>
    <row r="55" spans="3:12" x14ac:dyDescent="0.3">
      <c r="C55" s="4"/>
      <c r="D55" s="5"/>
      <c r="E55" s="5"/>
      <c r="F55" s="5"/>
      <c r="G55" s="5"/>
      <c r="H55" s="5"/>
      <c r="I55" s="5"/>
      <c r="J55" s="5"/>
      <c r="K55" s="5"/>
      <c r="L55" s="6"/>
    </row>
    <row r="56" spans="3:12" ht="18" x14ac:dyDescent="0.35">
      <c r="C56" s="4"/>
      <c r="D56" s="14" t="s">
        <v>75</v>
      </c>
      <c r="E56" s="30" t="s">
        <v>111</v>
      </c>
      <c r="F56" s="5"/>
      <c r="G56" s="14" t="s">
        <v>72</v>
      </c>
      <c r="H56" s="30"/>
      <c r="I56" s="5"/>
      <c r="J56" s="14"/>
      <c r="K56" s="5"/>
      <c r="L56" s="6"/>
    </row>
    <row r="57" spans="3:12" x14ac:dyDescent="0.3">
      <c r="C57" s="4"/>
      <c r="D57" s="5"/>
      <c r="E57" s="5"/>
      <c r="F57" s="5"/>
      <c r="G57" s="5"/>
      <c r="H57" s="5"/>
      <c r="I57" s="5"/>
      <c r="J57" s="5"/>
      <c r="K57" s="5"/>
      <c r="L57" s="6"/>
    </row>
    <row r="58" spans="3:12" ht="16.2" x14ac:dyDescent="0.3">
      <c r="C58" s="4"/>
      <c r="D58" s="5" t="s">
        <v>77</v>
      </c>
      <c r="E58" s="10">
        <v>90.41</v>
      </c>
      <c r="F58" s="5"/>
      <c r="G58" s="5" t="s">
        <v>88</v>
      </c>
      <c r="H58" s="10">
        <v>0</v>
      </c>
      <c r="I58" s="5"/>
      <c r="J58" s="5"/>
      <c r="K58" s="5"/>
      <c r="L58" s="6"/>
    </row>
    <row r="59" spans="3:12" x14ac:dyDescent="0.3">
      <c r="C59" s="4"/>
      <c r="D59" s="5" t="s">
        <v>6</v>
      </c>
      <c r="E59" s="15" t="s">
        <v>46</v>
      </c>
      <c r="F59" s="5"/>
      <c r="G59" s="5" t="s">
        <v>86</v>
      </c>
      <c r="H59" s="15" t="s">
        <v>59</v>
      </c>
      <c r="I59" s="5"/>
      <c r="J59" s="5"/>
      <c r="K59" s="5"/>
      <c r="L59" s="6"/>
    </row>
    <row r="60" spans="3:12" x14ac:dyDescent="0.3">
      <c r="C60" s="4"/>
      <c r="D60" s="5" t="s">
        <v>1</v>
      </c>
      <c r="E60" s="20" t="s">
        <v>9</v>
      </c>
      <c r="F60" s="5"/>
      <c r="G60" s="5" t="s">
        <v>87</v>
      </c>
      <c r="H60" s="10">
        <v>0</v>
      </c>
      <c r="I60" s="5"/>
      <c r="J60" s="5"/>
      <c r="K60" s="5"/>
      <c r="L60" s="6"/>
    </row>
    <row r="61" spans="3:12" x14ac:dyDescent="0.3">
      <c r="C61" s="4"/>
      <c r="D61" s="5" t="s">
        <v>67</v>
      </c>
      <c r="E61" s="10">
        <v>16</v>
      </c>
      <c r="F61" s="5"/>
      <c r="G61" s="5"/>
      <c r="H61" s="5"/>
      <c r="I61" s="5"/>
      <c r="J61" s="5"/>
      <c r="K61" s="5"/>
      <c r="L61" s="6"/>
    </row>
    <row r="62" spans="3:12" x14ac:dyDescent="0.3">
      <c r="C62" s="7"/>
      <c r="D62" s="8"/>
      <c r="E62" s="8"/>
      <c r="F62" s="8"/>
      <c r="G62" s="8"/>
      <c r="H62" s="8"/>
      <c r="I62" s="8"/>
      <c r="J62" s="8"/>
      <c r="K62" s="8"/>
      <c r="L62" s="9"/>
    </row>
    <row r="67" spans="4:11" x14ac:dyDescent="0.3">
      <c r="D67" s="31"/>
      <c r="E67" s="12"/>
      <c r="G67" s="31"/>
      <c r="H67" s="12"/>
      <c r="J67" s="31"/>
      <c r="K67" s="12"/>
    </row>
    <row r="69" spans="4:11" x14ac:dyDescent="0.3">
      <c r="D69" s="18"/>
      <c r="E69" s="32"/>
      <c r="F69" s="32"/>
      <c r="G69" s="33"/>
      <c r="H69" s="32"/>
      <c r="I69" s="32"/>
      <c r="J69" s="33"/>
      <c r="K69" s="32"/>
    </row>
    <row r="70" spans="4:11" x14ac:dyDescent="0.3">
      <c r="D70" s="18"/>
      <c r="E70" s="32"/>
      <c r="F70" s="32"/>
      <c r="G70" s="33"/>
      <c r="H70" s="32"/>
      <c r="I70" s="32"/>
      <c r="J70" s="33"/>
      <c r="K70" s="32"/>
    </row>
    <row r="71" spans="4:11" x14ac:dyDescent="0.3">
      <c r="D71" s="18"/>
      <c r="E71" s="32"/>
      <c r="F71" s="32"/>
      <c r="G71" s="33"/>
      <c r="H71" s="32"/>
      <c r="I71" s="32"/>
      <c r="J71" s="33"/>
      <c r="K71" s="32"/>
    </row>
    <row r="72" spans="4:11" x14ac:dyDescent="0.3">
      <c r="D72" s="18"/>
      <c r="E72" s="32"/>
      <c r="F72" s="32"/>
      <c r="G72" s="18"/>
      <c r="H72" s="32"/>
      <c r="I72" s="32"/>
      <c r="J72" s="18"/>
      <c r="K72" s="32"/>
    </row>
    <row r="73" spans="4:11" x14ac:dyDescent="0.3">
      <c r="E73" s="32"/>
      <c r="F73" s="32"/>
      <c r="G73" s="32"/>
      <c r="H73" s="32"/>
      <c r="I73" s="32"/>
      <c r="J73" s="32"/>
      <c r="K73" s="32"/>
    </row>
    <row r="74" spans="4:11" x14ac:dyDescent="0.3">
      <c r="E74" s="32"/>
      <c r="F74" s="32"/>
      <c r="G74" s="32"/>
      <c r="H74" s="32"/>
      <c r="I74" s="32"/>
      <c r="J74" s="32"/>
      <c r="K74" s="32"/>
    </row>
    <row r="75" spans="4:11" x14ac:dyDescent="0.3">
      <c r="E75" s="32"/>
      <c r="F75" s="32"/>
      <c r="G75" s="32"/>
      <c r="H75" s="32"/>
      <c r="I75" s="32"/>
      <c r="J75" s="32"/>
      <c r="K75" s="32"/>
    </row>
    <row r="76" spans="4:11" x14ac:dyDescent="0.3">
      <c r="D76" s="31"/>
      <c r="E76" s="34"/>
      <c r="F76" s="32"/>
      <c r="G76" s="35"/>
      <c r="H76" s="34"/>
      <c r="I76" s="32"/>
      <c r="J76" s="35"/>
      <c r="K76" s="34"/>
    </row>
    <row r="77" spans="4:11" x14ac:dyDescent="0.3">
      <c r="D77" s="12"/>
      <c r="E77" s="34"/>
      <c r="F77" s="32"/>
      <c r="G77" s="34"/>
      <c r="H77" s="34"/>
      <c r="I77" s="32"/>
      <c r="J77" s="34"/>
      <c r="K77" s="34"/>
    </row>
    <row r="78" spans="4:11" x14ac:dyDescent="0.3">
      <c r="D78" s="18"/>
      <c r="E78" s="32"/>
      <c r="F78" s="32"/>
      <c r="G78" s="33"/>
      <c r="H78" s="32"/>
      <c r="I78" s="32"/>
      <c r="J78" s="33"/>
      <c r="K78" s="32"/>
    </row>
    <row r="79" spans="4:11" x14ac:dyDescent="0.3">
      <c r="D79" s="18"/>
      <c r="E79" s="32"/>
      <c r="F79" s="32"/>
      <c r="G79" s="33"/>
      <c r="H79" s="32"/>
      <c r="I79" s="32"/>
      <c r="J79" s="33"/>
      <c r="K79" s="32"/>
    </row>
    <row r="80" spans="4:11" x14ac:dyDescent="0.3">
      <c r="E80" s="32"/>
      <c r="F80" s="32"/>
      <c r="G80" s="33"/>
      <c r="H80" s="32"/>
      <c r="I80" s="32"/>
      <c r="J80" s="32"/>
      <c r="K80" s="32"/>
    </row>
    <row r="81" spans="4:11" x14ac:dyDescent="0.3">
      <c r="E81" s="32"/>
      <c r="F81" s="32"/>
      <c r="G81" s="32"/>
      <c r="H81" s="32"/>
      <c r="I81" s="32"/>
      <c r="J81" s="32"/>
      <c r="K81" s="32"/>
    </row>
    <row r="82" spans="4:11" x14ac:dyDescent="0.3">
      <c r="E82" s="32"/>
      <c r="F82" s="32"/>
      <c r="G82" s="32"/>
      <c r="H82" s="32"/>
      <c r="I82" s="32"/>
      <c r="J82" s="32"/>
      <c r="K82" s="32"/>
    </row>
    <row r="83" spans="4:11" x14ac:dyDescent="0.3">
      <c r="E83" s="32"/>
      <c r="F83" s="32"/>
      <c r="G83" s="32"/>
      <c r="H83" s="32"/>
      <c r="I83" s="32"/>
      <c r="J83" s="32"/>
      <c r="K83" s="32"/>
    </row>
    <row r="84" spans="4:11" x14ac:dyDescent="0.3">
      <c r="E84" s="32"/>
      <c r="F84" s="32"/>
      <c r="G84" s="32"/>
      <c r="H84" s="32"/>
      <c r="I84" s="32"/>
      <c r="J84" s="32"/>
      <c r="K84" s="32"/>
    </row>
    <row r="85" spans="4:11" x14ac:dyDescent="0.3">
      <c r="D85" s="31"/>
      <c r="E85" s="34"/>
      <c r="F85" s="34"/>
      <c r="G85" s="35"/>
      <c r="H85" s="34"/>
      <c r="I85" s="32"/>
      <c r="J85" s="35"/>
      <c r="K85" s="34"/>
    </row>
    <row r="86" spans="4:11" x14ac:dyDescent="0.3">
      <c r="E86" s="32"/>
      <c r="F86" s="32"/>
      <c r="G86" s="32"/>
      <c r="H86" s="32"/>
      <c r="I86" s="32"/>
      <c r="J86" s="32"/>
      <c r="K86" s="32"/>
    </row>
    <row r="87" spans="4:11" x14ac:dyDescent="0.3">
      <c r="D87" s="18"/>
      <c r="E87" s="32"/>
      <c r="F87" s="32"/>
      <c r="G87" s="33"/>
      <c r="H87" s="32"/>
      <c r="I87" s="32"/>
      <c r="J87" s="33"/>
      <c r="K87" s="32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3</xdr:col>
                    <xdr:colOff>15240</xdr:colOff>
                    <xdr:row>41</xdr:row>
                    <xdr:rowOff>205740</xdr:rowOff>
                  </from>
                  <to>
                    <xdr:col>4</xdr:col>
                    <xdr:colOff>190500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594360</xdr:colOff>
                    <xdr:row>48</xdr:row>
                    <xdr:rowOff>182880</xdr:rowOff>
                  </from>
                  <to>
                    <xdr:col>4</xdr:col>
                    <xdr:colOff>152400</xdr:colOff>
                    <xdr:row>49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601980</xdr:colOff>
                    <xdr:row>55</xdr:row>
                    <xdr:rowOff>213360</xdr:rowOff>
                  </from>
                  <to>
                    <xdr:col>4</xdr:col>
                    <xdr:colOff>167640</xdr:colOff>
                    <xdr:row>57</xdr:row>
                    <xdr:rowOff>7620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09205E1-FFD9-471C-AF7E-2ADC26F5CEC2}">
          <x14:formula1>
            <xm:f>'Data Values'!$E$2:$E$7</xm:f>
          </x14:formula1>
          <xm:sqref>E46 E53 H45 H52 H59 E60 K35 K24 K13</xm:sqref>
        </x14:dataValidation>
        <x14:dataValidation type="list" allowBlank="1" showInputMessage="1" showErrorMessage="1" xr:uid="{A74D7150-6308-4510-B603-6E4874C66F78}">
          <x14:formula1>
            <xm:f>'Data Values'!$B$7:$B$20</xm:f>
          </x14:formula1>
          <xm:sqref>E45 E52 E59</xm:sqref>
        </x14:dataValidation>
        <x14:dataValidation type="list" allowBlank="1" showInputMessage="1" showErrorMessage="1" xr:uid="{55B67D6C-E2E9-41B0-9316-465477B98DF0}">
          <x14:formula1>
            <xm:f>'Data Values'!$E$2:$E$5</xm:f>
          </x14:formula1>
          <xm:sqref>E35 H35 H24 H13 E13 E24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0B555-2DAC-4728-80AC-7E80769FE214}">
  <dimension ref="B2:S45"/>
  <sheetViews>
    <sheetView topLeftCell="C1" workbookViewId="0">
      <selection activeCell="O16" sqref="O16"/>
    </sheetView>
  </sheetViews>
  <sheetFormatPr defaultRowHeight="14.4" x14ac:dyDescent="0.3"/>
  <cols>
    <col min="2" max="2" width="11.5546875" customWidth="1"/>
    <col min="4" max="4" width="22.109375" customWidth="1"/>
    <col min="5" max="5" width="17.5546875" customWidth="1"/>
    <col min="7" max="7" width="14.5546875" customWidth="1"/>
    <col min="9" max="9" width="33.44140625" customWidth="1"/>
    <col min="13" max="13" width="34.5546875" customWidth="1"/>
    <col min="17" max="17" width="30.44140625" customWidth="1"/>
  </cols>
  <sheetData>
    <row r="2" spans="2:19" x14ac:dyDescent="0.3">
      <c r="E2" t="s">
        <v>59</v>
      </c>
      <c r="F2">
        <v>0</v>
      </c>
      <c r="I2" s="12" t="s">
        <v>27</v>
      </c>
      <c r="M2" s="12" t="s">
        <v>36</v>
      </c>
      <c r="Q2" s="12" t="s">
        <v>37</v>
      </c>
    </row>
    <row r="3" spans="2:19" x14ac:dyDescent="0.3">
      <c r="E3" t="s">
        <v>7</v>
      </c>
      <c r="F3">
        <f>1.5*3.5</f>
        <v>5.25</v>
      </c>
      <c r="K3" s="18" t="s">
        <v>38</v>
      </c>
      <c r="O3" s="18" t="s">
        <v>38</v>
      </c>
      <c r="S3" s="18" t="s">
        <v>38</v>
      </c>
    </row>
    <row r="4" spans="2:19" x14ac:dyDescent="0.3">
      <c r="E4" t="s">
        <v>8</v>
      </c>
      <c r="F4">
        <f>1.5*5.5</f>
        <v>8.25</v>
      </c>
      <c r="I4" t="s">
        <v>30</v>
      </c>
      <c r="J4">
        <f>'Wood Calculator'!E12*3</f>
        <v>353.67</v>
      </c>
      <c r="K4" t="b">
        <f>J27=(VLOOKUP('Wood Calculator'!E13,E3:F7,2,FALSE)*J4)/12</f>
        <v>0</v>
      </c>
      <c r="M4" t="s">
        <v>30</v>
      </c>
      <c r="N4">
        <f>'Wood Calculator'!E23*3</f>
        <v>383.54999999999995</v>
      </c>
      <c r="O4">
        <f>(VLOOKUP('Wood Calculator'!E24,E3:F7,2,FALSE)*N4)/12</f>
        <v>167.80312499999999</v>
      </c>
      <c r="Q4" t="s">
        <v>30</v>
      </c>
      <c r="R4">
        <f>'Wood Calculator'!E34*3</f>
        <v>0</v>
      </c>
      <c r="S4" t="e">
        <f>(VLOOKUP('Wood Calculator'!E35,E3:F7,2,FALSE)*R4)/12</f>
        <v>#N/A</v>
      </c>
    </row>
    <row r="5" spans="2:19" x14ac:dyDescent="0.3">
      <c r="E5" t="s">
        <v>9</v>
      </c>
      <c r="F5">
        <f>1.5*7.25</f>
        <v>10.875</v>
      </c>
      <c r="I5" t="s">
        <v>28</v>
      </c>
      <c r="J5">
        <f>(('Wood Calculator'!E12/('Wood Calculator'!E14/12))+'Wood Calculator'!E16+'Wood Calculator'!E17+'Wood Calculator'!E18)</f>
        <v>77.944999999999993</v>
      </c>
      <c r="M5" t="s">
        <v>28</v>
      </c>
      <c r="N5">
        <f>(('Wood Calculator'!E23/('Wood Calculator'!E25/12))+'Wood Calculator'!E27+'Wood Calculator'!E28+'Wood Calculator'!E29)</f>
        <v>113.8875</v>
      </c>
      <c r="Q5" t="s">
        <v>28</v>
      </c>
      <c r="R5" t="e">
        <f>(('Wood Calculator'!E34/('Wood Calculator'!E36/12))+'Wood Calculator'!E38+'Wood Calculator'!E39+'Wood Calculator'!E40)</f>
        <v>#DIV/0!</v>
      </c>
    </row>
    <row r="6" spans="2:19" x14ac:dyDescent="0.3">
      <c r="E6" t="s">
        <v>13</v>
      </c>
      <c r="F6">
        <f>1.5*9.25</f>
        <v>13.875</v>
      </c>
      <c r="I6" t="s">
        <v>32</v>
      </c>
      <c r="J6">
        <f>J5*'Wood Calculator'!E15</f>
        <v>779.44999999999993</v>
      </c>
      <c r="K6">
        <f>(VLOOKUP('Wood Calculator'!E13,E3:F7,2,FALSE)*J6)/12</f>
        <v>341.00937499999998</v>
      </c>
      <c r="M6" t="s">
        <v>32</v>
      </c>
      <c r="N6">
        <f>N5*'Wood Calculator'!E26</f>
        <v>604.74262499999998</v>
      </c>
      <c r="O6">
        <f>(VLOOKUP('Wood Calculator'!E24,E3:F8,2,FALSE)*N6)/12</f>
        <v>264.5748984375</v>
      </c>
      <c r="Q6" t="s">
        <v>32</v>
      </c>
      <c r="R6" t="e">
        <f>R5*'Wood Calculator'!E37</f>
        <v>#DIV/0!</v>
      </c>
      <c r="S6" t="e">
        <f>(VLOOKUP('Wood Calculator'!E35,E3:F7,2,FALSE)*R6)/12</f>
        <v>#N/A</v>
      </c>
    </row>
    <row r="7" spans="2:19" x14ac:dyDescent="0.3">
      <c r="B7" t="s">
        <v>60</v>
      </c>
      <c r="C7">
        <v>0</v>
      </c>
      <c r="E7" t="s">
        <v>14</v>
      </c>
      <c r="F7">
        <f>1.5*11.25</f>
        <v>16.875</v>
      </c>
      <c r="I7" t="s">
        <v>31</v>
      </c>
      <c r="J7">
        <f>'Wood Calculator'!H12*3</f>
        <v>156.51</v>
      </c>
      <c r="K7">
        <f>(VLOOKUP('Wood Calculator'!H13,E3:F7,2,FALSE)*J7)/12</f>
        <v>68.473124999999996</v>
      </c>
      <c r="M7" t="s">
        <v>31</v>
      </c>
      <c r="N7">
        <f>'Wood Calculator'!H23*3</f>
        <v>0</v>
      </c>
      <c r="O7" t="e">
        <f>(VLOOKUP('Wood Calculator'!H24,E3:F7,2,FALSE)*N7)/12</f>
        <v>#N/A</v>
      </c>
      <c r="Q7" t="s">
        <v>31</v>
      </c>
      <c r="R7">
        <f>'Wood Calculator'!H34*3</f>
        <v>0</v>
      </c>
      <c r="S7" t="e">
        <f>(VLOOKUP('Wood Calculator'!H35,E3:F7,2,FALSE)*R7)/12</f>
        <v>#N/A</v>
      </c>
    </row>
    <row r="8" spans="2:19" x14ac:dyDescent="0.3">
      <c r="B8" s="19" t="s">
        <v>43</v>
      </c>
      <c r="C8">
        <v>1</v>
      </c>
      <c r="I8" t="s">
        <v>29</v>
      </c>
      <c r="J8">
        <f>('Wood Calculator'!H12/('Wood Calculator'!H14/12))+'Wood Calculator'!H16+'Wood Calculator'!H17</f>
        <v>26.085000000000001</v>
      </c>
      <c r="M8" t="s">
        <v>29</v>
      </c>
      <c r="N8" t="e">
        <f>('Wood Calculator'!H23/('Wood Calculator'!H25/12))+'Wood Calculator'!H27+'Wood Calculator'!H28</f>
        <v>#DIV/0!</v>
      </c>
      <c r="Q8" t="s">
        <v>29</v>
      </c>
      <c r="R8" t="e">
        <f>('Wood Calculator'!H34/('Wood Calculator'!H36/12))+'Wood Calculator'!H38+'Wood Calculator'!H39</f>
        <v>#DIV/0!</v>
      </c>
    </row>
    <row r="9" spans="2:19" x14ac:dyDescent="0.3">
      <c r="B9" s="19" t="s">
        <v>42</v>
      </c>
      <c r="C9">
        <v>1.0035000000000001</v>
      </c>
      <c r="I9" t="s">
        <v>33</v>
      </c>
      <c r="J9">
        <f>(J8-(4.5/12))*'Wood Calculator'!H15</f>
        <v>257.10000000000002</v>
      </c>
      <c r="K9">
        <f>(VLOOKUP('Wood Calculator'!H13,E3:F7,2,FALSE)*J9)/12</f>
        <v>112.48125</v>
      </c>
      <c r="M9" t="s">
        <v>33</v>
      </c>
      <c r="N9" t="e">
        <f>(N8-0.375)*'Wood Calculator'!H26</f>
        <v>#DIV/0!</v>
      </c>
      <c r="O9" t="e">
        <f>(VLOOKUP('Wood Calculator'!H24,E3:F7,2,FALSE)*N9)/12</f>
        <v>#N/A</v>
      </c>
      <c r="Q9" t="s">
        <v>33</v>
      </c>
      <c r="R9" t="e">
        <f>(R8-0.375)*'Wood Calculator'!H37</f>
        <v>#DIV/0!</v>
      </c>
      <c r="S9" t="e">
        <f>(VLOOKUP('Wood Calculator'!H35,E3:F7,2,FALSE)*R9)/12</f>
        <v>#N/A</v>
      </c>
    </row>
    <row r="10" spans="2:19" x14ac:dyDescent="0.3">
      <c r="B10" s="19" t="s">
        <v>44</v>
      </c>
      <c r="C10">
        <v>1.0138</v>
      </c>
    </row>
    <row r="11" spans="2:19" x14ac:dyDescent="0.3">
      <c r="B11" s="19" t="s">
        <v>45</v>
      </c>
      <c r="C11">
        <v>1.0307999999999999</v>
      </c>
      <c r="I11" t="s">
        <v>34</v>
      </c>
      <c r="J11">
        <f>'Wood Calculator'!E12</f>
        <v>117.89</v>
      </c>
      <c r="K11">
        <f>(VLOOKUP('Wood Calculator'!K13,E3:F7,2,FALSE)*J11)/12</f>
        <v>106.8378125</v>
      </c>
      <c r="M11" t="s">
        <v>34</v>
      </c>
      <c r="N11">
        <f>'Wood Calculator'!E23</f>
        <v>127.85</v>
      </c>
      <c r="O11">
        <f>(VLOOKUP('Wood Calculator'!K24,E3:F7,2,FALSE)*N11)/12</f>
        <v>115.86406249999999</v>
      </c>
      <c r="Q11" t="s">
        <v>34</v>
      </c>
      <c r="R11">
        <f>'Wood Calculator'!E34</f>
        <v>0</v>
      </c>
      <c r="S11" t="e">
        <f>(VLOOKUP('Wood Calculator'!K35,E3:F7,2,FALSE)*R11)/12</f>
        <v>#N/A</v>
      </c>
    </row>
    <row r="12" spans="2:19" x14ac:dyDescent="0.3">
      <c r="B12" s="19" t="s">
        <v>46</v>
      </c>
      <c r="C12">
        <v>1.0541</v>
      </c>
      <c r="I12" t="s">
        <v>35</v>
      </c>
      <c r="J12">
        <f>(SQRT('Wood Calculator'!K12))*(SQRT('Wood Calculator'!K12)/('Wood Calculator'!K14/12))</f>
        <v>476.07000000000005</v>
      </c>
      <c r="K12">
        <f>(VLOOKUP('Wood Calculator'!K13,E3:F7,2,FALSE)*J12)/12</f>
        <v>431.43843750000002</v>
      </c>
      <c r="M12" t="s">
        <v>35</v>
      </c>
      <c r="N12">
        <f>(SQRT('Wood Calculator'!K23))*(SQRT('Wood Calculator'!K23)/('Wood Calculator'!K25/12))</f>
        <v>404.07000000000005</v>
      </c>
      <c r="O12">
        <f>(VLOOKUP('Wood Calculator'!K24,E3:F7,2,FALSE)*N12)/12</f>
        <v>366.18843750000002</v>
      </c>
      <c r="Q12" t="s">
        <v>35</v>
      </c>
      <c r="R12" t="e">
        <f>(SQRT('Wood Calculator'!K34))*(SQRT('Wood Calculator'!K34)/('Wood Calculator'!K36/12))</f>
        <v>#DIV/0!</v>
      </c>
      <c r="S12" t="e">
        <f>(VLOOKUP('Wood Calculator'!K35,E3:F7,2,FALSE)*R12)/12</f>
        <v>#N/A</v>
      </c>
    </row>
    <row r="13" spans="2:19" x14ac:dyDescent="0.3">
      <c r="B13" s="19" t="s">
        <v>47</v>
      </c>
      <c r="C13">
        <v>1.0832999999999999</v>
      </c>
    </row>
    <row r="14" spans="2:19" x14ac:dyDescent="0.3">
      <c r="B14" s="19" t="s">
        <v>48</v>
      </c>
      <c r="C14">
        <v>1.1180000000000001</v>
      </c>
      <c r="I14" s="18"/>
      <c r="J14" s="12" t="s">
        <v>39</v>
      </c>
      <c r="K14">
        <f>SUMIF(K5:K13,"&lt;&gt;#N/A")</f>
        <v>1060.24</v>
      </c>
      <c r="M14" s="18"/>
      <c r="N14" s="12" t="s">
        <v>39</v>
      </c>
      <c r="O14">
        <f>SUMIF(O4:O12,"&lt;#N/A")</f>
        <v>0</v>
      </c>
      <c r="Q14" s="18"/>
      <c r="R14" s="12" t="s">
        <v>39</v>
      </c>
      <c r="S14">
        <f>SUMIF(S4:S12,"&lt;&gt;#N/A")</f>
        <v>0</v>
      </c>
    </row>
    <row r="15" spans="2:19" x14ac:dyDescent="0.3">
      <c r="B15" s="19" t="s">
        <v>49</v>
      </c>
      <c r="C15">
        <v>1.1577</v>
      </c>
      <c r="I15" t="s">
        <v>105</v>
      </c>
      <c r="J15">
        <f>(('Wood Calculator'!E16+'Wood Calculator'!E17+'Wood Calculator'!E18)*'Wood Calculator'!E15)</f>
        <v>190</v>
      </c>
      <c r="K15">
        <f>(VLOOKUP('Wood Calculator'!K13,E2:F7,2,FALSE)*J15)/12</f>
        <v>172.1875</v>
      </c>
      <c r="M15" t="s">
        <v>97</v>
      </c>
      <c r="N15">
        <f>(('Wood Calculator'!E27+'Wood Calculator'!E28+'Wood Calculator'!E29)*'Wood Calculator'!E15)</f>
        <v>180</v>
      </c>
      <c r="O15">
        <f>(VLOOKUP('Wood Calculator'!K13,E2:F7,2,FALSE)*N15)/12</f>
        <v>163.125</v>
      </c>
      <c r="Q15" t="s">
        <v>97</v>
      </c>
      <c r="R15">
        <f>(('Wood Calculator'!E38+'Wood Calculator'!E39+'Wood Calculator'!E40)*'Wood Calculator'!E15)</f>
        <v>0</v>
      </c>
      <c r="S15">
        <f>(VLOOKUP('Wood Calculator'!K13,E2:F7,2,FALSE)*R15)/12</f>
        <v>0</v>
      </c>
    </row>
    <row r="16" spans="2:19" x14ac:dyDescent="0.3">
      <c r="B16" s="19" t="s">
        <v>50</v>
      </c>
      <c r="C16">
        <v>1.2019</v>
      </c>
      <c r="I16" t="s">
        <v>106</v>
      </c>
      <c r="J16">
        <f>(('Wood Calculator'!H16+'Wood Calculator'!H17)*'Wood Calculator'!H15)</f>
        <v>0</v>
      </c>
      <c r="K16">
        <f>(VLOOKUP('Wood Calculator'!K13,E2:F7,2,FALSE)*J16)/12</f>
        <v>0</v>
      </c>
      <c r="M16" t="s">
        <v>106</v>
      </c>
      <c r="N16">
        <f>(('Wood Calculator'!H29+'Wood Calculator'!H30)*'Wood Calculator'!H26)</f>
        <v>0</v>
      </c>
      <c r="O16">
        <f>(VLOOKUP('Wood Calculator'!K13,E2:F7,2,FALSE)*N16)/12</f>
        <v>0</v>
      </c>
      <c r="Q16" t="s">
        <v>106</v>
      </c>
      <c r="R16">
        <f>(('Wood Calculator'!H38+'Wood Calculator'!H39)*'Wood Calculator'!H37)</f>
        <v>0</v>
      </c>
      <c r="S16">
        <f>(VLOOKUP('Wood Calculator'!K13,E2:F7,2,FALSE)*R16)/12</f>
        <v>0</v>
      </c>
    </row>
    <row r="17" spans="2:19" x14ac:dyDescent="0.3">
      <c r="B17" s="19" t="s">
        <v>51</v>
      </c>
      <c r="C17">
        <v>1.25</v>
      </c>
    </row>
    <row r="18" spans="2:19" x14ac:dyDescent="0.3">
      <c r="B18" s="19" t="s">
        <v>52</v>
      </c>
      <c r="C18">
        <v>1.3017000000000001</v>
      </c>
      <c r="I18" s="12" t="s">
        <v>55</v>
      </c>
      <c r="J18" s="12"/>
      <c r="K18" s="12"/>
      <c r="L18" s="12"/>
      <c r="M18" s="12" t="s">
        <v>56</v>
      </c>
      <c r="N18" s="12"/>
      <c r="O18" s="12"/>
      <c r="P18" s="12"/>
      <c r="Q18" s="12" t="s">
        <v>57</v>
      </c>
    </row>
    <row r="19" spans="2:19" x14ac:dyDescent="0.3">
      <c r="B19" s="19" t="s">
        <v>53</v>
      </c>
      <c r="C19">
        <v>1.3566</v>
      </c>
      <c r="I19" t="s">
        <v>83</v>
      </c>
      <c r="J19">
        <f>'Wood Calculator'!E44*(VLOOKUP('Wood Calculator'!E45,B8:C20,2,FALSE))</f>
        <v>390.14949599999994</v>
      </c>
      <c r="M19" t="s">
        <v>83</v>
      </c>
      <c r="N19">
        <f>'Wood Calculator'!E51*(VLOOKUP('Wood Calculator'!E52,B8:C20,2,FALSE))</f>
        <v>761.91439199999991</v>
      </c>
      <c r="Q19" t="s">
        <v>83</v>
      </c>
      <c r="R19">
        <f>'Wood Calculator'!E58*(VLOOKUP('Wood Calculator'!E59,B8:C20,2,FALSE))</f>
        <v>95.301181</v>
      </c>
    </row>
    <row r="20" spans="2:19" x14ac:dyDescent="0.3">
      <c r="B20" s="19" t="s">
        <v>54</v>
      </c>
      <c r="C20">
        <v>1.4141999999999999</v>
      </c>
      <c r="I20" t="s">
        <v>58</v>
      </c>
      <c r="J20">
        <f>(SQRT(J19)/('Wood Calculator'!E47/12))+1</f>
        <v>15.814151730693188</v>
      </c>
      <c r="M20" t="s">
        <v>58</v>
      </c>
      <c r="N20">
        <f>(SQRT(N19)/('Wood Calculator'!E54/12))+1</f>
        <v>21.702097611111778</v>
      </c>
      <c r="Q20" t="s">
        <v>58</v>
      </c>
      <c r="R20">
        <f>(SQRT(R19)/('Wood Calculator'!E61/12))+1</f>
        <v>8.3216742834204247</v>
      </c>
    </row>
    <row r="21" spans="2:19" x14ac:dyDescent="0.3">
      <c r="I21" t="s">
        <v>61</v>
      </c>
      <c r="J21">
        <f>(SQRT(J19)/('Wood Calculator'!E47/12))+1</f>
        <v>15.814151730693188</v>
      </c>
      <c r="M21" t="s">
        <v>64</v>
      </c>
      <c r="N21">
        <f>(SQRT(N19)/('Wood Calculator'!E54/12))+1</f>
        <v>21.702097611111778</v>
      </c>
      <c r="Q21" t="s">
        <v>64</v>
      </c>
      <c r="R21">
        <f>(SQRT(R19)/('Wood Calculator'!E61/12))+1</f>
        <v>8.3216742834204247</v>
      </c>
    </row>
    <row r="22" spans="2:19" x14ac:dyDescent="0.3">
      <c r="I22" t="s">
        <v>62</v>
      </c>
      <c r="J22" s="12">
        <f>SQRT(J19)*(VLOOKUP('Wood Calculator'!E45,B8:C20,2,FALSE))</f>
        <v>27.933564503395072</v>
      </c>
      <c r="K22">
        <f>(VLOOKUP('Wood Calculator'!E46,E3:F7,2,FALSE)*J22)/12*J20</f>
        <v>400.33197486368925</v>
      </c>
      <c r="M22" t="s">
        <v>62</v>
      </c>
      <c r="N22" s="12">
        <f>SQRT(N19)*(VLOOKUP('Wood Calculator'!E52,B8:C20,2,FALSE))</f>
        <v>39.035875255512366</v>
      </c>
      <c r="O22">
        <f>(VLOOKUP('Wood Calculator'!E53,'Data Values'!E3:F7,2,FALSE)*N22)/12*N20</f>
        <v>767.73908996184559</v>
      </c>
      <c r="Q22" t="s">
        <v>62</v>
      </c>
      <c r="R22" s="12">
        <f>SQRT(R19)*(VLOOKUP('Wood Calculator'!E59,B8:C20,2,FALSE))</f>
        <v>10.290369149537961</v>
      </c>
      <c r="S22">
        <f>(VLOOKUP('Wood Calculator'!E60,E3:F7,2,FALSE)*R22)/12*R20</f>
        <v>77.604997163742993</v>
      </c>
    </row>
    <row r="23" spans="2:19" x14ac:dyDescent="0.3">
      <c r="B23" s="19"/>
      <c r="I23" t="s">
        <v>63</v>
      </c>
      <c r="J23">
        <f>SQRT(J19)</f>
        <v>19.752202307590917</v>
      </c>
      <c r="K23">
        <f>(VLOOKUP('Wood Calculator'!E46,E3:F7,2,FALSE)*J23)/12*J22</f>
        <v>500.02290937664986</v>
      </c>
      <c r="M23" t="s">
        <v>63</v>
      </c>
      <c r="N23">
        <f>SQRT(N19)</f>
        <v>27.602796814815704</v>
      </c>
      <c r="O23" s="22">
        <f>(VLOOKUP('Wood Calculator'!E53,E3:F7,2,FALSE)*N23/12)*N22</f>
        <v>976.48377068204991</v>
      </c>
      <c r="Q23" t="s">
        <v>63</v>
      </c>
      <c r="R23">
        <f>SQRT(R19)</f>
        <v>9.7622323778939002</v>
      </c>
      <c r="S23">
        <f>(VLOOKUP('Wood Calculator'!E60,E3:F7,2,FALSE)*R23)/12*R22</f>
        <v>91.039133495965629</v>
      </c>
    </row>
    <row r="24" spans="2:19" x14ac:dyDescent="0.3">
      <c r="I24" t="s">
        <v>68</v>
      </c>
      <c r="K24" s="18" t="str">
        <f>IF('Wood Calculator'!E45='Data Values'!B8,K22,"0")</f>
        <v>0</v>
      </c>
      <c r="M24" t="s">
        <v>68</v>
      </c>
      <c r="O24" s="18" t="str">
        <f>IF('Wood Calculator'!E52='Data Values'!B8,O23,"0")</f>
        <v>0</v>
      </c>
      <c r="Q24" t="s">
        <v>68</v>
      </c>
      <c r="S24" s="18" t="str">
        <f>IF('Wood Calculator'!E59='Data Values'!B8,S23,"0")</f>
        <v>0</v>
      </c>
    </row>
    <row r="26" spans="2:19" x14ac:dyDescent="0.3">
      <c r="J26" s="12"/>
      <c r="K26" s="18"/>
      <c r="N26" s="12"/>
      <c r="O26" s="18"/>
      <c r="R26" s="12"/>
      <c r="S26" s="18"/>
    </row>
    <row r="29" spans="2:19" x14ac:dyDescent="0.3">
      <c r="I29" t="s">
        <v>69</v>
      </c>
      <c r="J29" t="b">
        <v>1</v>
      </c>
      <c r="K29">
        <f>IF(J29=FALSE,"0",K23)</f>
        <v>500.02290937664986</v>
      </c>
      <c r="M29" t="s">
        <v>69</v>
      </c>
      <c r="N29" t="b">
        <v>0</v>
      </c>
      <c r="O29" t="str">
        <f>IF(N29=FALSE,"0",O23)</f>
        <v>0</v>
      </c>
      <c r="Q29" t="s">
        <v>69</v>
      </c>
      <c r="R29" t="b">
        <v>0</v>
      </c>
      <c r="S29" t="str">
        <f>IF(R29=FALSE,"0",S23)</f>
        <v>0</v>
      </c>
    </row>
    <row r="31" spans="2:19" x14ac:dyDescent="0.3">
      <c r="J31" s="12" t="s">
        <v>39</v>
      </c>
      <c r="K31">
        <f>SUMIF(K19:K28,"&lt;&gt;#N/A")-K29</f>
        <v>400.3319748636892</v>
      </c>
      <c r="N31" s="12" t="s">
        <v>39</v>
      </c>
      <c r="O31">
        <f>SUMIF(O19:O22,"&lt;&gt;#N/A")-O24+O25+O26</f>
        <v>767.73908996184559</v>
      </c>
      <c r="R31" s="12" t="s">
        <v>39</v>
      </c>
      <c r="S31">
        <f>SUMIF(S19:S22,"&lt;&gt;#N/A")-S24+S25+S26</f>
        <v>77.604997163742993</v>
      </c>
    </row>
    <row r="36" spans="9:19" x14ac:dyDescent="0.3">
      <c r="I36" s="12" t="s">
        <v>79</v>
      </c>
      <c r="J36" s="12"/>
      <c r="K36" s="12"/>
      <c r="L36" s="12"/>
      <c r="M36" s="12" t="s">
        <v>80</v>
      </c>
      <c r="N36" s="12"/>
      <c r="O36" s="12"/>
      <c r="P36" s="12"/>
      <c r="Q36" s="12" t="s">
        <v>81</v>
      </c>
    </row>
    <row r="37" spans="9:19" x14ac:dyDescent="0.3">
      <c r="I37" t="s">
        <v>82</v>
      </c>
      <c r="J37">
        <f>'Wood Calculator'!H44</f>
        <v>0</v>
      </c>
      <c r="M37" t="s">
        <v>84</v>
      </c>
      <c r="N37">
        <f>'Wood Calculator'!H51</f>
        <v>0</v>
      </c>
      <c r="Q37" t="s">
        <v>85</v>
      </c>
      <c r="R37">
        <f>'Wood Calculator'!H58</f>
        <v>0</v>
      </c>
    </row>
    <row r="38" spans="9:19" x14ac:dyDescent="0.3">
      <c r="I38" t="s">
        <v>89</v>
      </c>
      <c r="J38">
        <f>SQRT(J37)*4</f>
        <v>0</v>
      </c>
      <c r="K38" t="e">
        <f>(VLOOKUP('Wood Calculator'!H45,E3:F7,2,FALSE)*J38)/12</f>
        <v>#N/A</v>
      </c>
      <c r="M38" t="s">
        <v>89</v>
      </c>
      <c r="N38">
        <f>SQRT(N37)*4</f>
        <v>0</v>
      </c>
      <c r="O38" t="e">
        <f>(VLOOKUP('Wood Calculator'!H52,E3:F7,2,FALSE)*N38)/12</f>
        <v>#N/A</v>
      </c>
      <c r="Q38" t="s">
        <v>89</v>
      </c>
      <c r="R38">
        <f>SQRT(R37)*4</f>
        <v>0</v>
      </c>
      <c r="S38" t="e">
        <f>(VLOOKUP('Wood Calculator'!H59,E3:F7,2,FALSE)*R38)/12</f>
        <v>#N/A</v>
      </c>
    </row>
    <row r="39" spans="9:19" x14ac:dyDescent="0.3">
      <c r="I39" t="s">
        <v>90</v>
      </c>
      <c r="J39">
        <f>SQRT(J37)</f>
        <v>0</v>
      </c>
      <c r="K39" t="e">
        <f>(VLOOKUP('Wood Calculator'!H45,E3:F7,2,FALSE)*J39*J40)/12</f>
        <v>#N/A</v>
      </c>
      <c r="M39" t="s">
        <v>90</v>
      </c>
      <c r="N39">
        <f>SQRT(N37)</f>
        <v>0</v>
      </c>
      <c r="O39" t="e">
        <f>(VLOOKUP('Wood Calculator'!L45,E3:F7,2,FALSE)*N39*N40)/12</f>
        <v>#N/A</v>
      </c>
      <c r="Q39" t="s">
        <v>90</v>
      </c>
      <c r="R39">
        <f>SQRT(R37)</f>
        <v>0</v>
      </c>
      <c r="S39" t="e">
        <f>(VLOOKUP('Wood Calculator'!H59,2,FALSE)*R39*R40)/12</f>
        <v>#N/A</v>
      </c>
    </row>
    <row r="40" spans="9:19" x14ac:dyDescent="0.3">
      <c r="I40" t="s">
        <v>91</v>
      </c>
      <c r="J40" t="e">
        <f>J39/('Wood Calculator'!H46/12)</f>
        <v>#DIV/0!</v>
      </c>
      <c r="M40" t="s">
        <v>91</v>
      </c>
      <c r="N40" t="e">
        <f>N39/('Wood Calculator'!H53/12)</f>
        <v>#DIV/0!</v>
      </c>
      <c r="Q40" t="s">
        <v>91</v>
      </c>
      <c r="R40" t="e">
        <f>R39/('Wood Calculator'!L53/12)</f>
        <v>#DIV/0!</v>
      </c>
    </row>
    <row r="45" spans="9:19" x14ac:dyDescent="0.3">
      <c r="J45" s="12" t="s">
        <v>39</v>
      </c>
      <c r="K45">
        <f>SUMIF(K37:K42,"&lt;&gt;#N/A")</f>
        <v>0</v>
      </c>
      <c r="N45" s="12" t="s">
        <v>39</v>
      </c>
      <c r="O45">
        <f>SUMIF(O37:O42,"&lt;&gt;#N/A")</f>
        <v>0</v>
      </c>
      <c r="R45" s="12" t="s">
        <v>39</v>
      </c>
      <c r="S45">
        <f>SUMIF(S37:S42,"&lt;&gt;#N/A")</f>
        <v>0</v>
      </c>
    </row>
  </sheetData>
  <dataValidations count="1">
    <dataValidation type="list" allowBlank="1" showInputMessage="1" showErrorMessage="1" sqref="E10" xr:uid="{D7A397A7-ABEB-4CCD-AF92-BA02D67B0D75}">
      <formula1>$E$3:$E$7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Totals</vt:lpstr>
      <vt:lpstr>Wood Calculator</vt:lpstr>
      <vt:lpstr>Data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 hordichuk</dc:creator>
  <cp:lastModifiedBy>dallas hordichuk</cp:lastModifiedBy>
  <dcterms:created xsi:type="dcterms:W3CDTF">2022-01-12T18:39:59Z</dcterms:created>
  <dcterms:modified xsi:type="dcterms:W3CDTF">2022-07-27T04:46:23Z</dcterms:modified>
</cp:coreProperties>
</file>